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30" windowWidth="31200" windowHeight="13050"/>
  </bookViews>
  <sheets>
    <sheet name="Residential Contribution Rates" sheetId="1" r:id="rId1"/>
  </sheets>
  <calcPr calcId="145621"/>
</workbook>
</file>

<file path=xl/calcChain.xml><?xml version="1.0" encoding="utf-8"?>
<calcChain xmlns="http://schemas.openxmlformats.org/spreadsheetml/2006/main">
  <c r="DM43" i="1" l="1"/>
  <c r="DM42" i="1"/>
  <c r="DM41" i="1"/>
  <c r="DN17" i="1"/>
  <c r="DN16" i="1"/>
  <c r="DN14" i="1"/>
  <c r="DN26" i="1"/>
  <c r="DF22" i="1"/>
  <c r="DG19" i="1"/>
  <c r="DE19" i="1"/>
  <c r="DD14" i="1"/>
  <c r="DD26" i="1"/>
  <c r="DD18" i="1"/>
  <c r="CT24" i="1"/>
  <c r="CZ22" i="1"/>
  <c r="CU22" i="1"/>
  <c r="CY22" i="1"/>
  <c r="CT20" i="1"/>
  <c r="CT26" i="1"/>
  <c r="CT17" i="1"/>
  <c r="CA27" i="1"/>
  <c r="CJ22" i="1"/>
  <c r="CI22" i="1"/>
  <c r="CD22" i="1"/>
  <c r="CF22" i="1"/>
  <c r="CM20" i="1"/>
  <c r="CG20" i="1"/>
  <c r="CF20" i="1"/>
  <c r="CC20" i="1"/>
  <c r="CA18" i="1" l="1"/>
  <c r="CP19" i="1"/>
  <c r="CN19" i="1"/>
  <c r="CK19" i="1"/>
  <c r="CJ19" i="1"/>
  <c r="CI19" i="1"/>
  <c r="CD19" i="1"/>
  <c r="CA16" i="1"/>
  <c r="CA15" i="1"/>
  <c r="CA14" i="1"/>
  <c r="BT18" i="1"/>
  <c r="BR18" i="1"/>
  <c r="BW17" i="1"/>
  <c r="BR17" i="1"/>
  <c r="BQ17" i="1"/>
  <c r="BN17" i="1"/>
  <c r="BW15" i="1"/>
  <c r="BH17" i="1"/>
  <c r="BB19" i="1"/>
  <c r="BA16" i="1"/>
  <c r="AU46" i="1"/>
  <c r="AU45" i="1"/>
  <c r="AU44" i="1"/>
  <c r="AU42" i="1"/>
  <c r="AU40" i="1"/>
  <c r="AP18" i="1"/>
  <c r="AP16" i="1"/>
  <c r="AH18" i="1"/>
  <c r="AH16" i="1"/>
  <c r="AC18" i="1"/>
  <c r="Z18" i="1"/>
  <c r="P18" i="1"/>
  <c r="K16" i="1"/>
  <c r="K12" i="1"/>
  <c r="K11" i="1"/>
  <c r="K2" i="1"/>
  <c r="DM45" i="1" l="1"/>
  <c r="DM44" i="1"/>
  <c r="DN27" i="1"/>
  <c r="DD27" i="1"/>
  <c r="DD16" i="1"/>
  <c r="DD15" i="1"/>
  <c r="CT27" i="1"/>
  <c r="CT18" i="1"/>
  <c r="CT14" i="1"/>
  <c r="CA26" i="1"/>
  <c r="CM22" i="1"/>
  <c r="CG22" i="1"/>
  <c r="CN20" i="1"/>
  <c r="CI20" i="1" l="1"/>
  <c r="CB20" i="1"/>
  <c r="CA20" i="1"/>
  <c r="CL19" i="1"/>
  <c r="CM19" i="1"/>
  <c r="CF19" i="1"/>
  <c r="CE19" i="1"/>
  <c r="CB19" i="1"/>
  <c r="CA19" i="1"/>
  <c r="CA17" i="1"/>
  <c r="BO19" i="1"/>
  <c r="BS18" i="1"/>
  <c r="BM18" i="1"/>
  <c r="AU47" i="1"/>
  <c r="AU39" i="1"/>
  <c r="AS18" i="1"/>
  <c r="AQ18" i="1"/>
  <c r="AK18" i="1"/>
  <c r="DM47" i="1" l="1"/>
  <c r="DM46" i="1"/>
  <c r="DD19" i="1"/>
  <c r="DD17" i="1"/>
  <c r="CT19" i="1"/>
  <c r="CT16" i="1"/>
  <c r="CN22" i="1"/>
  <c r="CH22" i="1"/>
  <c r="BP18" i="1" l="1"/>
  <c r="BR15" i="1"/>
  <c r="BN15" i="1"/>
  <c r="BA19" i="1"/>
  <c r="BB22" i="1" l="1"/>
  <c r="BC18" i="1"/>
  <c r="BA18" i="1"/>
  <c r="AU43" i="1" l="1"/>
  <c r="AJ18" i="1"/>
  <c r="AI18" i="1"/>
  <c r="AA18" i="1"/>
  <c r="Z27" i="1"/>
  <c r="Z15" i="1"/>
  <c r="V15" i="1"/>
  <c r="DD20" i="1" l="1"/>
  <c r="DB7" i="1"/>
  <c r="CR7" i="1"/>
  <c r="BY7" i="1"/>
  <c r="BF7" i="1"/>
  <c r="X7" i="1"/>
  <c r="T7" i="1"/>
  <c r="N7" i="1"/>
  <c r="CC22" i="1"/>
  <c r="CH19" i="1"/>
  <c r="BQ18" i="1"/>
  <c r="BA27" i="1"/>
  <c r="BA15" i="1"/>
  <c r="AH27" i="1" l="1"/>
  <c r="V27" i="1"/>
  <c r="V16" i="1"/>
  <c r="K15" i="1"/>
  <c r="K27" i="1"/>
  <c r="DN15" i="1" l="1"/>
  <c r="DE20" i="1"/>
  <c r="CX22" i="1"/>
  <c r="CT15" i="1"/>
  <c r="CL24" i="1"/>
  <c r="CL22" i="1"/>
  <c r="CE20" i="1"/>
  <c r="CC19" i="1" l="1"/>
  <c r="BM27" i="1"/>
  <c r="BH15" i="1" l="1"/>
  <c r="AT19" i="1"/>
  <c r="AP15" i="1"/>
  <c r="Z16" i="1"/>
  <c r="DM48" i="1" l="1"/>
  <c r="DD22" i="1"/>
  <c r="DG20" i="1"/>
  <c r="CV22" i="1"/>
  <c r="CD20" i="1"/>
  <c r="BU19" i="1"/>
  <c r="AP27" i="1"/>
  <c r="K10" i="1"/>
  <c r="DF19" i="1" l="1"/>
  <c r="CL20" i="1"/>
  <c r="AV19" i="1" l="1"/>
  <c r="P12" i="1"/>
  <c r="DF20" i="1" l="1"/>
  <c r="BH19" i="1"/>
  <c r="V13" i="1"/>
  <c r="P13" i="1"/>
  <c r="K13" i="1"/>
  <c r="DH22" i="1" l="1"/>
  <c r="DN41" i="1" l="1"/>
  <c r="CW22" i="1"/>
  <c r="AU48" i="1"/>
  <c r="AH15" i="1"/>
  <c r="Q15" i="1"/>
  <c r="P15" i="1"/>
  <c r="DM40" i="1" l="1"/>
  <c r="DN40" i="1"/>
  <c r="CM24" i="1"/>
  <c r="CO23" i="1"/>
  <c r="CL23" i="1"/>
  <c r="CN23" i="1" s="1"/>
  <c r="CM23" i="1" l="1"/>
  <c r="CO24" i="1"/>
  <c r="CN24" i="1"/>
  <c r="CG19" i="1" l="1"/>
  <c r="BP17" i="1"/>
  <c r="Z12" i="1" l="1"/>
  <c r="AH11" i="1"/>
  <c r="V11" i="1" l="1"/>
  <c r="P11" i="1"/>
  <c r="Z11" i="1" s="1"/>
  <c r="AP11" i="1"/>
  <c r="CT12" i="1"/>
  <c r="CA12" i="1"/>
  <c r="BH12" i="1"/>
  <c r="BA12" i="1"/>
  <c r="BN12" i="1"/>
  <c r="AH12" i="1"/>
  <c r="AP12" i="1"/>
  <c r="CA11" i="1"/>
  <c r="CT11" i="1"/>
  <c r="BH11" i="1"/>
  <c r="BI11" i="1" s="1"/>
  <c r="BA11" i="1"/>
  <c r="BN11" i="1"/>
  <c r="DN9" i="1"/>
  <c r="DJ9" i="1"/>
  <c r="DI9" i="1"/>
  <c r="DH9" i="1"/>
  <c r="DG9" i="1"/>
  <c r="DF9" i="1"/>
  <c r="DE9" i="1"/>
  <c r="DD9" i="1"/>
  <c r="CZ9" i="1"/>
  <c r="CY9" i="1"/>
  <c r="CX9" i="1"/>
  <c r="CW9" i="1"/>
  <c r="CV9" i="1"/>
  <c r="CU9" i="1"/>
  <c r="CT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W9" i="1"/>
  <c r="BV9" i="1"/>
  <c r="BU9" i="1"/>
  <c r="BT9" i="1"/>
  <c r="BS9" i="1"/>
  <c r="BR9" i="1"/>
  <c r="BQ9" i="1"/>
  <c r="BP9" i="1"/>
  <c r="BO9" i="1"/>
  <c r="BN9" i="1"/>
  <c r="BM9" i="1"/>
  <c r="BI9" i="1"/>
  <c r="BH9" i="1"/>
  <c r="BD9" i="1"/>
  <c r="BC9" i="1"/>
  <c r="BB9" i="1"/>
  <c r="BA9" i="1"/>
  <c r="AW9" i="1"/>
  <c r="AV9" i="1"/>
  <c r="AU9" i="1"/>
  <c r="AT9" i="1"/>
  <c r="AS9" i="1"/>
  <c r="AR9" i="1"/>
  <c r="AQ9" i="1"/>
  <c r="AP9" i="1"/>
  <c r="AL9" i="1"/>
  <c r="AK9" i="1"/>
  <c r="AJ9" i="1"/>
  <c r="AI9" i="1"/>
  <c r="AH9" i="1"/>
  <c r="AD9" i="1"/>
  <c r="AC9" i="1"/>
  <c r="AB9" i="1"/>
  <c r="AA9" i="1"/>
  <c r="Z9" i="1"/>
  <c r="V9" i="1"/>
  <c r="Q9" i="1"/>
  <c r="R9" i="1"/>
  <c r="P9" i="1"/>
  <c r="L9" i="1"/>
  <c r="K9" i="1"/>
  <c r="Q11" i="1" l="1"/>
  <c r="R11" i="1" s="1"/>
  <c r="BQ11" i="1"/>
  <c r="BS11" i="1" s="1"/>
  <c r="BP11" i="1"/>
  <c r="BR11" i="1" s="1"/>
  <c r="BT11" i="1" s="1"/>
  <c r="CT22" i="1"/>
  <c r="BV11" i="1" l="1"/>
  <c r="BW11" i="1"/>
  <c r="CJ20" i="1"/>
  <c r="CK20" i="1"/>
  <c r="CF57" i="1"/>
  <c r="CF56" i="1"/>
  <c r="CF55" i="1"/>
  <c r="CF54" i="1"/>
  <c r="CD52" i="1"/>
  <c r="CF51" i="1"/>
  <c r="CF50" i="1"/>
  <c r="CF49" i="1"/>
  <c r="CF48" i="1"/>
  <c r="CF47" i="1"/>
  <c r="CF46" i="1"/>
  <c r="CF45" i="1"/>
  <c r="CF44" i="1"/>
  <c r="CF43" i="1"/>
  <c r="CF42" i="1"/>
  <c r="CF41" i="1"/>
  <c r="CF40" i="1"/>
  <c r="F29" i="1" l="1"/>
  <c r="E30" i="1"/>
  <c r="E31" i="1"/>
  <c r="E32" i="1"/>
  <c r="D32" i="1"/>
  <c r="D30" i="1"/>
  <c r="D31" i="1"/>
  <c r="F32" i="1" l="1"/>
  <c r="F31" i="1"/>
  <c r="F30" i="1"/>
  <c r="U31" i="1"/>
  <c r="BS16" i="1"/>
  <c r="BT16" i="1" s="1"/>
  <c r="BI16" i="1"/>
  <c r="BP16" i="1" l="1"/>
  <c r="BV16" i="1"/>
  <c r="J34" i="1" l="1"/>
  <c r="AU41" i="1" l="1"/>
  <c r="DN48" i="1"/>
  <c r="DN47" i="1"/>
  <c r="DN46" i="1"/>
  <c r="DN45" i="1"/>
  <c r="DN44" i="1"/>
  <c r="DN43" i="1"/>
  <c r="DN42" i="1"/>
  <c r="DE18" i="1"/>
  <c r="DF18" i="1" s="1"/>
  <c r="DG18" i="1" s="1"/>
  <c r="DH18" i="1" s="1"/>
  <c r="DI18" i="1" s="1"/>
  <c r="DJ18" i="1" s="1"/>
  <c r="DE14" i="1"/>
  <c r="DF14" i="1" s="1"/>
  <c r="DG14" i="1" s="1"/>
  <c r="DH14" i="1" s="1"/>
  <c r="DI14" i="1" s="1"/>
  <c r="DJ14" i="1" s="1"/>
  <c r="DE17" i="1"/>
  <c r="DF17" i="1" s="1"/>
  <c r="DG17" i="1" s="1"/>
  <c r="DH17" i="1" s="1"/>
  <c r="DI17" i="1" s="1"/>
  <c r="DJ17" i="1" s="1"/>
  <c r="DE16" i="1"/>
  <c r="DF16" i="1" s="1"/>
  <c r="DG16" i="1" s="1"/>
  <c r="DH16" i="1" s="1"/>
  <c r="DI16" i="1" s="1"/>
  <c r="DJ16" i="1" s="1"/>
  <c r="DE15" i="1"/>
  <c r="DF15" i="1" s="1"/>
  <c r="DG15" i="1" s="1"/>
  <c r="DH15" i="1" s="1"/>
  <c r="DI15" i="1" s="1"/>
  <c r="DJ15" i="1" s="1"/>
  <c r="BB18" i="1"/>
  <c r="DE27" i="1"/>
  <c r="DF27" i="1" s="1"/>
  <c r="DG27" i="1" s="1"/>
  <c r="DH27" i="1" s="1"/>
  <c r="DI27" i="1" s="1"/>
  <c r="DJ27" i="1" s="1"/>
  <c r="DE26" i="1"/>
  <c r="DF26" i="1" s="1"/>
  <c r="DG26" i="1" s="1"/>
  <c r="DH26" i="1" s="1"/>
  <c r="DI26" i="1" s="1"/>
  <c r="DJ26" i="1" s="1"/>
  <c r="CU18" i="1"/>
  <c r="CV18" i="1" s="1"/>
  <c r="CW18" i="1" s="1"/>
  <c r="CX18" i="1" s="1"/>
  <c r="CY18" i="1" s="1"/>
  <c r="CZ18" i="1" s="1"/>
  <c r="CU14" i="1"/>
  <c r="CV14" i="1" s="1"/>
  <c r="CW14" i="1" s="1"/>
  <c r="CX14" i="1" s="1"/>
  <c r="CY14" i="1" s="1"/>
  <c r="CZ14" i="1" s="1"/>
  <c r="CU26" i="1"/>
  <c r="CV26" i="1" s="1"/>
  <c r="CW26" i="1" s="1"/>
  <c r="CX26" i="1" s="1"/>
  <c r="CY26" i="1" s="1"/>
  <c r="CZ26" i="1" s="1"/>
  <c r="CU19" i="1"/>
  <c r="CV19" i="1" s="1"/>
  <c r="CW19" i="1" s="1"/>
  <c r="CX19" i="1" s="1"/>
  <c r="CY19" i="1" s="1"/>
  <c r="CZ19" i="1" s="1"/>
  <c r="CU15" i="1"/>
  <c r="CV15" i="1" s="1"/>
  <c r="CW15" i="1" s="1"/>
  <c r="CX15" i="1" s="1"/>
  <c r="CY15" i="1" s="1"/>
  <c r="CZ15" i="1" s="1"/>
  <c r="CU27" i="1"/>
  <c r="CV27" i="1" s="1"/>
  <c r="CW27" i="1" s="1"/>
  <c r="CX27" i="1" s="1"/>
  <c r="CY27" i="1" s="1"/>
  <c r="CZ27" i="1" s="1"/>
  <c r="CU20" i="1"/>
  <c r="CV20" i="1" s="1"/>
  <c r="CW20" i="1" s="1"/>
  <c r="CX20" i="1" s="1"/>
  <c r="CY20" i="1" s="1"/>
  <c r="CZ20" i="1" s="1"/>
  <c r="CU16" i="1"/>
  <c r="CV16" i="1" s="1"/>
  <c r="CW16" i="1" s="1"/>
  <c r="CX16" i="1" s="1"/>
  <c r="CY16" i="1" s="1"/>
  <c r="CZ16" i="1" s="1"/>
  <c r="CU17" i="1"/>
  <c r="CV17" i="1" s="1"/>
  <c r="CW17" i="1" s="1"/>
  <c r="CX17" i="1" s="1"/>
  <c r="CY17" i="1" s="1"/>
  <c r="CZ17" i="1" s="1"/>
  <c r="CU11" i="1"/>
  <c r="CU12" i="1"/>
  <c r="BP15" i="1"/>
  <c r="BQ15" i="1"/>
  <c r="BO28" i="1"/>
  <c r="BS15" i="1"/>
  <c r="BS17" i="1"/>
  <c r="BU28" i="1"/>
  <c r="BI15" i="1"/>
  <c r="BI17" i="1"/>
  <c r="BI12" i="1"/>
  <c r="AB18" i="1"/>
  <c r="Z13" i="1"/>
  <c r="P17" i="1"/>
  <c r="CT10" i="1" l="1"/>
  <c r="CA10" i="1"/>
  <c r="CU10" i="1" s="1"/>
  <c r="BH10" i="1"/>
  <c r="BI10" i="1" s="1"/>
  <c r="BA10" i="1"/>
  <c r="BD10" i="1" s="1"/>
  <c r="BN10" i="1"/>
  <c r="BT10" i="1" s="1"/>
  <c r="AP10" i="1"/>
  <c r="AW10" i="1" s="1"/>
  <c r="AH10" i="1"/>
  <c r="AI10" i="1" s="1"/>
  <c r="Z10" i="1"/>
  <c r="AA10" i="1" s="1"/>
  <c r="CT13" i="1"/>
  <c r="CA13" i="1"/>
  <c r="CU13" i="1" s="1"/>
  <c r="BN13" i="1"/>
  <c r="BQ13" i="1" s="1"/>
  <c r="BH13" i="1"/>
  <c r="BI13" i="1" s="1"/>
  <c r="BA13" i="1"/>
  <c r="BD13" i="1" s="1"/>
  <c r="AP13" i="1"/>
  <c r="AU13" i="1" s="1"/>
  <c r="AH13" i="1"/>
  <c r="AL13" i="1" s="1"/>
  <c r="AS35" i="1"/>
  <c r="AS29" i="1"/>
  <c r="AS30" i="1" s="1"/>
  <c r="BB16" i="1"/>
  <c r="BD16" i="1"/>
  <c r="BC16" i="1"/>
  <c r="CY24" i="1"/>
  <c r="CV24" i="1"/>
  <c r="CZ24" i="1"/>
  <c r="CW24" i="1"/>
  <c r="CU24" i="1"/>
  <c r="CX24" i="1"/>
  <c r="CZ12" i="1"/>
  <c r="CV12" i="1"/>
  <c r="CY12" i="1"/>
  <c r="CX12" i="1"/>
  <c r="CW12" i="1"/>
  <c r="CY11" i="1"/>
  <c r="CX11" i="1"/>
  <c r="CW11" i="1"/>
  <c r="CZ11" i="1"/>
  <c r="CV11" i="1"/>
  <c r="CD16" i="1"/>
  <c r="CH16" i="1"/>
  <c r="CL16" i="1"/>
  <c r="CP16" i="1"/>
  <c r="CC16" i="1"/>
  <c r="CI16" i="1"/>
  <c r="CN16" i="1"/>
  <c r="CE16" i="1"/>
  <c r="CJ16" i="1"/>
  <c r="CO16" i="1"/>
  <c r="CF16" i="1"/>
  <c r="CK16" i="1"/>
  <c r="CB16" i="1"/>
  <c r="CG16" i="1"/>
  <c r="CM16" i="1"/>
  <c r="CD12" i="1"/>
  <c r="CH12" i="1"/>
  <c r="CL12" i="1"/>
  <c r="CP12" i="1"/>
  <c r="CC12" i="1"/>
  <c r="CI12" i="1"/>
  <c r="CN12" i="1"/>
  <c r="CE12" i="1"/>
  <c r="CJ12" i="1"/>
  <c r="CO12" i="1"/>
  <c r="CF12" i="1"/>
  <c r="CK12" i="1"/>
  <c r="CB12" i="1"/>
  <c r="CG12" i="1"/>
  <c r="CM12" i="1"/>
  <c r="DD12" i="1"/>
  <c r="DH12" i="1"/>
  <c r="DG12" i="1"/>
  <c r="DI12" i="1"/>
  <c r="DE12" i="1"/>
  <c r="DJ12" i="1"/>
  <c r="DF12" i="1"/>
  <c r="CD15" i="1"/>
  <c r="CH15" i="1"/>
  <c r="CL15" i="1"/>
  <c r="CP15" i="1"/>
  <c r="CC15" i="1"/>
  <c r="CI15" i="1"/>
  <c r="CN15" i="1"/>
  <c r="CE15" i="1"/>
  <c r="CJ15" i="1"/>
  <c r="CO15" i="1"/>
  <c r="CF15" i="1"/>
  <c r="CK15" i="1"/>
  <c r="CB15" i="1"/>
  <c r="CG15" i="1"/>
  <c r="CM15" i="1"/>
  <c r="CD11" i="1"/>
  <c r="CH11" i="1"/>
  <c r="CL11" i="1"/>
  <c r="CP11" i="1"/>
  <c r="CC11" i="1"/>
  <c r="CI11" i="1"/>
  <c r="CN11" i="1"/>
  <c r="CE11" i="1"/>
  <c r="CJ11" i="1"/>
  <c r="CO11" i="1"/>
  <c r="CF11" i="1"/>
  <c r="CK11" i="1"/>
  <c r="CB11" i="1"/>
  <c r="CG11" i="1"/>
  <c r="CM11" i="1"/>
  <c r="DG11" i="1"/>
  <c r="DD11" i="1"/>
  <c r="DI11" i="1"/>
  <c r="DE11" i="1"/>
  <c r="DJ11" i="1"/>
  <c r="DF11" i="1"/>
  <c r="DH11" i="1"/>
  <c r="CD18" i="1"/>
  <c r="CH18" i="1"/>
  <c r="CL18" i="1"/>
  <c r="CP18" i="1"/>
  <c r="CC18" i="1"/>
  <c r="CI18" i="1"/>
  <c r="CN18" i="1"/>
  <c r="CE18" i="1"/>
  <c r="CJ18" i="1"/>
  <c r="CO18" i="1"/>
  <c r="CF18" i="1"/>
  <c r="CK18" i="1"/>
  <c r="CB18" i="1"/>
  <c r="CG18" i="1"/>
  <c r="CM18" i="1"/>
  <c r="CD14" i="1"/>
  <c r="CH14" i="1"/>
  <c r="CL14" i="1"/>
  <c r="CP14" i="1"/>
  <c r="CC14" i="1"/>
  <c r="CI14" i="1"/>
  <c r="CN14" i="1"/>
  <c r="CE14" i="1"/>
  <c r="CJ14" i="1"/>
  <c r="CO14" i="1"/>
  <c r="CF14" i="1"/>
  <c r="CK14" i="1"/>
  <c r="CB14" i="1"/>
  <c r="CG14" i="1"/>
  <c r="CM14" i="1"/>
  <c r="CB27" i="1"/>
  <c r="CF27" i="1"/>
  <c r="CJ27" i="1"/>
  <c r="CN27" i="1"/>
  <c r="CE27" i="1"/>
  <c r="CK27" i="1"/>
  <c r="CP27" i="1"/>
  <c r="CG27" i="1"/>
  <c r="CL27" i="1"/>
  <c r="CC27" i="1"/>
  <c r="CH27" i="1"/>
  <c r="CM27" i="1"/>
  <c r="CD27" i="1"/>
  <c r="CI27" i="1"/>
  <c r="CO27" i="1"/>
  <c r="CD17" i="1"/>
  <c r="CH17" i="1"/>
  <c r="CL17" i="1"/>
  <c r="CP17" i="1"/>
  <c r="CC17" i="1"/>
  <c r="CI17" i="1"/>
  <c r="CN17" i="1"/>
  <c r="CE17" i="1"/>
  <c r="CJ17" i="1"/>
  <c r="CO17" i="1"/>
  <c r="CF17" i="1"/>
  <c r="CK17" i="1"/>
  <c r="CB17" i="1"/>
  <c r="CG17" i="1"/>
  <c r="CM17" i="1"/>
  <c r="CB26" i="1"/>
  <c r="CF26" i="1"/>
  <c r="CJ26" i="1"/>
  <c r="CN26" i="1"/>
  <c r="CE26" i="1"/>
  <c r="CK26" i="1"/>
  <c r="CP26" i="1"/>
  <c r="CG26" i="1"/>
  <c r="CL26" i="1"/>
  <c r="CC26" i="1"/>
  <c r="CH26" i="1"/>
  <c r="CM26" i="1"/>
  <c r="CD26" i="1"/>
  <c r="CI26" i="1"/>
  <c r="CO26" i="1"/>
  <c r="CD10" i="1"/>
  <c r="BM28" i="1"/>
  <c r="BP12" i="1"/>
  <c r="BT12" i="1"/>
  <c r="BQ12" i="1"/>
  <c r="BV12" i="1"/>
  <c r="BR12" i="1"/>
  <c r="BW12" i="1"/>
  <c r="BS12" i="1"/>
  <c r="BT17" i="1"/>
  <c r="BV17" i="1"/>
  <c r="BT15" i="1"/>
  <c r="BV15" i="1"/>
  <c r="BC12" i="1"/>
  <c r="BD12" i="1"/>
  <c r="BB12" i="1"/>
  <c r="BD11" i="1"/>
  <c r="BC11" i="1"/>
  <c r="BB11" i="1"/>
  <c r="BC15" i="1"/>
  <c r="BD15" i="1"/>
  <c r="BB15" i="1"/>
  <c r="BB27" i="1"/>
  <c r="BD27" i="1"/>
  <c r="BC27" i="1"/>
  <c r="AV16" i="1"/>
  <c r="AR16" i="1"/>
  <c r="AQ16" i="1"/>
  <c r="AW16" i="1"/>
  <c r="AT16" i="1"/>
  <c r="AU16" i="1"/>
  <c r="AV12" i="1"/>
  <c r="AR12" i="1"/>
  <c r="AT12" i="1"/>
  <c r="AW12" i="1"/>
  <c r="AU12" i="1"/>
  <c r="AQ12" i="1"/>
  <c r="AV27" i="1"/>
  <c r="AQ27" i="1"/>
  <c r="AR27" i="1"/>
  <c r="AT27" i="1"/>
  <c r="AU27" i="1"/>
  <c r="AW27" i="1"/>
  <c r="AQ11" i="1"/>
  <c r="AT11" i="1"/>
  <c r="AU11" i="1"/>
  <c r="AR11" i="1"/>
  <c r="AV11" i="1"/>
  <c r="AW11" i="1"/>
  <c r="AV15" i="1"/>
  <c r="AW15" i="1"/>
  <c r="AT15" i="1"/>
  <c r="AR15" i="1"/>
  <c r="AQ15" i="1"/>
  <c r="AU15" i="1"/>
  <c r="AD11" i="1"/>
  <c r="AB11" i="1"/>
  <c r="AA11" i="1"/>
  <c r="AC11" i="1"/>
  <c r="AD16" i="1"/>
  <c r="AB16" i="1"/>
  <c r="AA16" i="1"/>
  <c r="AC16" i="1"/>
  <c r="AD27" i="1"/>
  <c r="AA27" i="1"/>
  <c r="AB27" i="1"/>
  <c r="AC27" i="1"/>
  <c r="AL12" i="1"/>
  <c r="AI12" i="1"/>
  <c r="AJ12" i="1"/>
  <c r="AK12" i="1"/>
  <c r="AD12" i="1"/>
  <c r="AA12" i="1"/>
  <c r="AC12" i="1"/>
  <c r="AB12" i="1"/>
  <c r="AL27" i="1"/>
  <c r="AI27" i="1"/>
  <c r="AK27" i="1"/>
  <c r="AJ27" i="1"/>
  <c r="AL15" i="1"/>
  <c r="AK15" i="1"/>
  <c r="AJ15" i="1"/>
  <c r="AI15" i="1"/>
  <c r="AL16" i="1"/>
  <c r="AJ16" i="1"/>
  <c r="AI16" i="1"/>
  <c r="AK16" i="1"/>
  <c r="AC13" i="1"/>
  <c r="AD13" i="1"/>
  <c r="AA13" i="1"/>
  <c r="AB13" i="1"/>
  <c r="AD15" i="1"/>
  <c r="AB15" i="1"/>
  <c r="AA15" i="1"/>
  <c r="AC15" i="1"/>
  <c r="AL11" i="1"/>
  <c r="AJ11" i="1"/>
  <c r="AI11" i="1"/>
  <c r="AK11" i="1"/>
  <c r="DN11" i="1"/>
  <c r="DN12" i="1"/>
  <c r="K29" i="1"/>
  <c r="AI13" i="1" l="1"/>
  <c r="AT10" i="1"/>
  <c r="AQ13" i="1"/>
  <c r="AR10" i="1"/>
  <c r="DD10" i="1"/>
  <c r="CK10" i="1"/>
  <c r="AD10" i="1"/>
  <c r="AD29" i="1" s="1"/>
  <c r="AD30" i="1" s="1"/>
  <c r="BT13" i="1"/>
  <c r="BT29" i="1" s="1"/>
  <c r="AB10" i="1"/>
  <c r="AB29" i="1" s="1"/>
  <c r="AC10" i="1"/>
  <c r="AC29" i="1" s="1"/>
  <c r="AC30" i="1" s="1"/>
  <c r="BB10" i="1"/>
  <c r="Z29" i="1"/>
  <c r="Z30" i="1" s="1"/>
  <c r="AQ10" i="1"/>
  <c r="BC10" i="1"/>
  <c r="CJ10" i="1"/>
  <c r="DJ10" i="1"/>
  <c r="AU10" i="1"/>
  <c r="AU29" i="1" s="1"/>
  <c r="AU30" i="1" s="1"/>
  <c r="AV10" i="1"/>
  <c r="AW13" i="1"/>
  <c r="AW29" i="1" s="1"/>
  <c r="AW30" i="1" s="1"/>
  <c r="BI29" i="1"/>
  <c r="BI34" i="1" s="1"/>
  <c r="BP10" i="1"/>
  <c r="DH10" i="1"/>
  <c r="CI10" i="1"/>
  <c r="BH29" i="1"/>
  <c r="BH31" i="1" s="1"/>
  <c r="AJ13" i="1"/>
  <c r="AH29" i="1"/>
  <c r="AH32" i="1" s="1"/>
  <c r="AT13" i="1"/>
  <c r="BW13" i="1"/>
  <c r="AK13" i="1"/>
  <c r="BP13" i="1"/>
  <c r="DN13" i="1"/>
  <c r="BS13" i="1"/>
  <c r="DN10" i="1"/>
  <c r="AJ10" i="1"/>
  <c r="AR13" i="1"/>
  <c r="BC13" i="1"/>
  <c r="BV13" i="1"/>
  <c r="DI10" i="1"/>
  <c r="CG10" i="1"/>
  <c r="CB10" i="1"/>
  <c r="CV10" i="1"/>
  <c r="DF13" i="1"/>
  <c r="CH13" i="1"/>
  <c r="CV13" i="1"/>
  <c r="AV13" i="1"/>
  <c r="BR13" i="1"/>
  <c r="DE10" i="1"/>
  <c r="CO10" i="1"/>
  <c r="CH10" i="1"/>
  <c r="CG13" i="1"/>
  <c r="CO13" i="1"/>
  <c r="DJ13" i="1"/>
  <c r="DJ29" i="1" s="1"/>
  <c r="CI13" i="1"/>
  <c r="AK10" i="1"/>
  <c r="AL10" i="1"/>
  <c r="AL29" i="1" s="1"/>
  <c r="BN29" i="1"/>
  <c r="BN31" i="1" s="1"/>
  <c r="BA29" i="1"/>
  <c r="BA34" i="1" s="1"/>
  <c r="BS10" i="1"/>
  <c r="BV10" i="1"/>
  <c r="BB13" i="1"/>
  <c r="BB29" i="1" s="1"/>
  <c r="BW10" i="1"/>
  <c r="BQ10" i="1"/>
  <c r="BQ29" i="1" s="1"/>
  <c r="BR10" i="1"/>
  <c r="CT29" i="1"/>
  <c r="CT30" i="1" s="1"/>
  <c r="AP29" i="1"/>
  <c r="AP30" i="1" s="1"/>
  <c r="DF10" i="1"/>
  <c r="CF10" i="1"/>
  <c r="CE10" i="1"/>
  <c r="CP10" i="1"/>
  <c r="CC10" i="1"/>
  <c r="DH13" i="1"/>
  <c r="DE13" i="1"/>
  <c r="CK13" i="1"/>
  <c r="CE13" i="1"/>
  <c r="CP13" i="1"/>
  <c r="CW10" i="1"/>
  <c r="CX13" i="1"/>
  <c r="CW13" i="1"/>
  <c r="DG10" i="1"/>
  <c r="CM10" i="1"/>
  <c r="CA29" i="1"/>
  <c r="CA32" i="1" s="1"/>
  <c r="CN10" i="1"/>
  <c r="CL10" i="1"/>
  <c r="DG13" i="1"/>
  <c r="CM13" i="1"/>
  <c r="CF13" i="1"/>
  <c r="CN13" i="1"/>
  <c r="CL13" i="1"/>
  <c r="CY10" i="1"/>
  <c r="CX10" i="1"/>
  <c r="CY13" i="1"/>
  <c r="K31" i="1"/>
  <c r="K30" i="1"/>
  <c r="DD13" i="1"/>
  <c r="DI13" i="1"/>
  <c r="CB13" i="1"/>
  <c r="CB29" i="1" s="1"/>
  <c r="CB32" i="1" s="1"/>
  <c r="CJ13" i="1"/>
  <c r="CC13" i="1"/>
  <c r="CD13" i="1"/>
  <c r="CD29" i="1" s="1"/>
  <c r="CD32" i="1" s="1"/>
  <c r="CZ10" i="1"/>
  <c r="CZ13" i="1"/>
  <c r="CU29" i="1"/>
  <c r="BD29" i="1"/>
  <c r="AI29" i="1"/>
  <c r="AA29" i="1"/>
  <c r="Z33" i="1" l="1"/>
  <c r="AR29" i="1"/>
  <c r="AR30" i="1" s="1"/>
  <c r="AT29" i="1"/>
  <c r="AT30" i="1" s="1"/>
  <c r="DD29" i="1"/>
  <c r="DD32" i="1" s="1"/>
  <c r="CJ29" i="1"/>
  <c r="CJ33" i="1" s="1"/>
  <c r="CK29" i="1"/>
  <c r="CK31" i="1" s="1"/>
  <c r="CP29" i="1"/>
  <c r="CP33" i="1" s="1"/>
  <c r="BW29" i="1"/>
  <c r="BW31" i="1" s="1"/>
  <c r="AQ29" i="1"/>
  <c r="AQ30" i="1" s="1"/>
  <c r="BC29" i="1"/>
  <c r="BC30" i="1" s="1"/>
  <c r="BS29" i="1"/>
  <c r="BS32" i="1" s="1"/>
  <c r="AK29" i="1"/>
  <c r="AK33" i="1" s="1"/>
  <c r="CI29" i="1"/>
  <c r="CI32" i="1" s="1"/>
  <c r="Z32" i="1"/>
  <c r="CF29" i="1"/>
  <c r="CF33" i="1" s="1"/>
  <c r="BH33" i="1"/>
  <c r="Z31" i="1"/>
  <c r="BI33" i="1"/>
  <c r="BI30" i="1"/>
  <c r="BN32" i="1"/>
  <c r="BI32" i="1"/>
  <c r="Z34" i="1"/>
  <c r="BH32" i="1"/>
  <c r="BH30" i="1"/>
  <c r="BI31" i="1"/>
  <c r="BV29" i="1"/>
  <c r="BV30" i="1" s="1"/>
  <c r="CO29" i="1"/>
  <c r="CO31" i="1" s="1"/>
  <c r="BH34" i="1"/>
  <c r="CC29" i="1"/>
  <c r="CC30" i="1" s="1"/>
  <c r="AJ29" i="1"/>
  <c r="AJ32" i="1" s="1"/>
  <c r="DH29" i="1"/>
  <c r="DH30" i="1" s="1"/>
  <c r="AV29" i="1"/>
  <c r="AV30" i="1" s="1"/>
  <c r="CZ29" i="1"/>
  <c r="CZ33" i="1" s="1"/>
  <c r="CV29" i="1"/>
  <c r="CV31" i="1" s="1"/>
  <c r="CH29" i="1"/>
  <c r="CH33" i="1" s="1"/>
  <c r="DN29" i="1"/>
  <c r="DN30" i="1" s="1"/>
  <c r="BR29" i="1"/>
  <c r="BR32" i="1" s="1"/>
  <c r="BP29" i="1"/>
  <c r="BP31" i="1" s="1"/>
  <c r="CG29" i="1"/>
  <c r="CG33" i="1" s="1"/>
  <c r="AH31" i="1"/>
  <c r="AH34" i="1"/>
  <c r="AH33" i="1"/>
  <c r="AH30" i="1"/>
  <c r="CW29" i="1"/>
  <c r="CW33" i="1" s="1"/>
  <c r="CE29" i="1"/>
  <c r="CE30" i="1" s="1"/>
  <c r="DI29" i="1"/>
  <c r="DI31" i="1" s="1"/>
  <c r="DF29" i="1"/>
  <c r="DF33" i="1" s="1"/>
  <c r="DE29" i="1"/>
  <c r="DE32" i="1" s="1"/>
  <c r="AP34" i="1"/>
  <c r="CL29" i="1"/>
  <c r="CL33" i="1" s="1"/>
  <c r="DG29" i="1"/>
  <c r="DG30" i="1" s="1"/>
  <c r="CX29" i="1"/>
  <c r="CX33" i="1" s="1"/>
  <c r="CA31" i="1"/>
  <c r="BN34" i="1"/>
  <c r="BN33" i="1"/>
  <c r="BA30" i="1"/>
  <c r="BA32" i="1"/>
  <c r="BA31" i="1"/>
  <c r="BA33" i="1"/>
  <c r="CM29" i="1"/>
  <c r="CM31" i="1" s="1"/>
  <c r="CT32" i="1"/>
  <c r="CT33" i="1"/>
  <c r="CN29" i="1"/>
  <c r="CN30" i="1" s="1"/>
  <c r="CT31" i="1"/>
  <c r="BN30" i="1"/>
  <c r="CY29" i="1"/>
  <c r="CY32" i="1" s="1"/>
  <c r="AP33" i="1"/>
  <c r="AP31" i="1"/>
  <c r="AP32" i="1"/>
  <c r="CA30" i="1"/>
  <c r="CA33" i="1"/>
  <c r="BB31" i="1"/>
  <c r="BB30" i="1"/>
  <c r="AA31" i="1"/>
  <c r="AA30" i="1"/>
  <c r="BD31" i="1"/>
  <c r="BD30" i="1"/>
  <c r="BT31" i="1"/>
  <c r="BT30" i="1"/>
  <c r="AI31" i="1"/>
  <c r="AI30" i="1"/>
  <c r="AB31" i="1"/>
  <c r="AB30" i="1"/>
  <c r="BQ31" i="1"/>
  <c r="BQ30" i="1"/>
  <c r="AL31" i="1"/>
  <c r="AL30" i="1"/>
  <c r="BW30" i="1"/>
  <c r="AQ31" i="1"/>
  <c r="AW31" i="1"/>
  <c r="AT31" i="1"/>
  <c r="AD32" i="1"/>
  <c r="AD31" i="1"/>
  <c r="AC31" i="1"/>
  <c r="AC32" i="1"/>
  <c r="CD30" i="1"/>
  <c r="CB30" i="1"/>
  <c r="CU30" i="1"/>
  <c r="CU32" i="1"/>
  <c r="CU31" i="1"/>
  <c r="CU33" i="1"/>
  <c r="BB34" i="1"/>
  <c r="BB33" i="1"/>
  <c r="BB32" i="1"/>
  <c r="BD32" i="1"/>
  <c r="BD34" i="1"/>
  <c r="BD33" i="1"/>
  <c r="AA32" i="1"/>
  <c r="AA33" i="1"/>
  <c r="AA34" i="1"/>
  <c r="AI32" i="1"/>
  <c r="AI33" i="1"/>
  <c r="AI34" i="1"/>
  <c r="AD33" i="1"/>
  <c r="AD34" i="1"/>
  <c r="AT33" i="1"/>
  <c r="CB33" i="1"/>
  <c r="AL32" i="1"/>
  <c r="AL33" i="1"/>
  <c r="AL34" i="1"/>
  <c r="AR33" i="1"/>
  <c r="CB31" i="1"/>
  <c r="AC33" i="1"/>
  <c r="AC34" i="1"/>
  <c r="AW34" i="1"/>
  <c r="AW33" i="1"/>
  <c r="AW32" i="1"/>
  <c r="AB32" i="1"/>
  <c r="AB33" i="1"/>
  <c r="AB34" i="1"/>
  <c r="DJ30" i="1"/>
  <c r="DJ31" i="1"/>
  <c r="DJ32" i="1"/>
  <c r="DJ33" i="1"/>
  <c r="CD31" i="1"/>
  <c r="CD33" i="1"/>
  <c r="BQ32" i="1"/>
  <c r="BQ33" i="1"/>
  <c r="BQ34" i="1"/>
  <c r="BT32" i="1"/>
  <c r="BT33" i="1"/>
  <c r="BT34" i="1"/>
  <c r="AR34" i="1" l="1"/>
  <c r="AR31" i="1"/>
  <c r="AT32" i="1"/>
  <c r="BS34" i="1"/>
  <c r="BS30" i="1"/>
  <c r="DD33" i="1"/>
  <c r="BS33" i="1"/>
  <c r="AQ32" i="1"/>
  <c r="BS31" i="1"/>
  <c r="DD30" i="1"/>
  <c r="BW33" i="1"/>
  <c r="AT34" i="1"/>
  <c r="AK31" i="1"/>
  <c r="DD31" i="1"/>
  <c r="CJ32" i="1"/>
  <c r="CP31" i="1"/>
  <c r="CP30" i="1"/>
  <c r="AQ33" i="1"/>
  <c r="BW34" i="1"/>
  <c r="AQ34" i="1"/>
  <c r="AR32" i="1"/>
  <c r="CP32" i="1"/>
  <c r="CJ31" i="1"/>
  <c r="CJ30" i="1"/>
  <c r="CK33" i="1"/>
  <c r="BW32" i="1"/>
  <c r="CK30" i="1"/>
  <c r="BC33" i="1"/>
  <c r="BC31" i="1"/>
  <c r="CK32" i="1"/>
  <c r="BC34" i="1"/>
  <c r="BC32" i="1"/>
  <c r="DH31" i="1"/>
  <c r="CI31" i="1"/>
  <c r="CF31" i="1"/>
  <c r="CI30" i="1"/>
  <c r="AK34" i="1"/>
  <c r="CF30" i="1"/>
  <c r="CF32" i="1"/>
  <c r="AK32" i="1"/>
  <c r="AK30" i="1"/>
  <c r="BR34" i="1"/>
  <c r="CI33" i="1"/>
  <c r="BR30" i="1"/>
  <c r="DN32" i="1"/>
  <c r="DN31" i="1"/>
  <c r="DN33" i="1"/>
  <c r="DH33" i="1"/>
  <c r="DH32" i="1"/>
  <c r="CZ30" i="1"/>
  <c r="CO32" i="1"/>
  <c r="CC32" i="1"/>
  <c r="CC31" i="1"/>
  <c r="CM33" i="1"/>
  <c r="CO30" i="1"/>
  <c r="CH30" i="1"/>
  <c r="CO33" i="1"/>
  <c r="AV33" i="1"/>
  <c r="AV34" i="1"/>
  <c r="AV32" i="1"/>
  <c r="AV31" i="1"/>
  <c r="AJ34" i="1"/>
  <c r="CV32" i="1"/>
  <c r="BR33" i="1"/>
  <c r="CZ31" i="1"/>
  <c r="BR31" i="1"/>
  <c r="AJ30" i="1"/>
  <c r="BP33" i="1"/>
  <c r="CC33" i="1"/>
  <c r="CZ32" i="1"/>
  <c r="BP32" i="1"/>
  <c r="BV32" i="1"/>
  <c r="BV34" i="1"/>
  <c r="AJ33" i="1"/>
  <c r="CV30" i="1"/>
  <c r="AJ31" i="1"/>
  <c r="CG31" i="1"/>
  <c r="CV33" i="1"/>
  <c r="BV31" i="1"/>
  <c r="BP34" i="1"/>
  <c r="BV33" i="1"/>
  <c r="CH32" i="1"/>
  <c r="CG30" i="1"/>
  <c r="CG32" i="1"/>
  <c r="CH31" i="1"/>
  <c r="BP30" i="1"/>
  <c r="CX32" i="1"/>
  <c r="DF32" i="1"/>
  <c r="DF31" i="1"/>
  <c r="DF30" i="1"/>
  <c r="DI32" i="1"/>
  <c r="DI33" i="1"/>
  <c r="CW32" i="1"/>
  <c r="CW31" i="1"/>
  <c r="CW30" i="1"/>
  <c r="CM30" i="1"/>
  <c r="CE32" i="1"/>
  <c r="CE31" i="1"/>
  <c r="CE33" i="1"/>
  <c r="DG33" i="1"/>
  <c r="CX30" i="1"/>
  <c r="DI30" i="1"/>
  <c r="DE33" i="1"/>
  <c r="DE31" i="1"/>
  <c r="DE30" i="1"/>
  <c r="DG31" i="1"/>
  <c r="CL32" i="1"/>
  <c r="CL30" i="1"/>
  <c r="CL31" i="1"/>
  <c r="CN31" i="1"/>
  <c r="CN32" i="1"/>
  <c r="DG32" i="1"/>
  <c r="CM32" i="1"/>
  <c r="CX31" i="1"/>
  <c r="CY31" i="1"/>
  <c r="CY30" i="1"/>
  <c r="CY33" i="1"/>
  <c r="CN33" i="1"/>
  <c r="R13" i="1"/>
  <c r="R12" i="1"/>
  <c r="V12" i="1" s="1"/>
  <c r="Q13" i="1"/>
  <c r="Q12" i="1"/>
  <c r="L13" i="1"/>
  <c r="L12" i="1"/>
  <c r="L11" i="1"/>
  <c r="L10" i="1"/>
  <c r="V10" i="1" l="1"/>
  <c r="V29" i="1" s="1"/>
  <c r="V32" i="1" s="1"/>
  <c r="P10" i="1"/>
  <c r="K32" i="1"/>
  <c r="K33" i="1"/>
  <c r="K34" i="1"/>
  <c r="R17" i="1"/>
  <c r="Q17" i="1"/>
  <c r="R16" i="1"/>
  <c r="Q16" i="1"/>
  <c r="R15" i="1"/>
  <c r="R14" i="1"/>
  <c r="L27" i="1"/>
  <c r="L16" i="1"/>
  <c r="L15" i="1"/>
  <c r="P30" i="1" l="1"/>
  <c r="P31" i="1"/>
  <c r="P32" i="1"/>
  <c r="P29" i="1"/>
  <c r="P33" i="1"/>
  <c r="P34" i="1"/>
  <c r="Q10" i="1"/>
  <c r="Q29" i="1" s="1"/>
  <c r="Q30" i="1" s="1"/>
  <c r="R10" i="1"/>
  <c r="R29" i="1" s="1"/>
  <c r="R30" i="1" s="1"/>
  <c r="V30" i="1"/>
  <c r="V34" i="1"/>
  <c r="V31" i="1"/>
  <c r="V33" i="1"/>
  <c r="L29" i="1"/>
  <c r="Q33" i="1" l="1"/>
  <c r="Q34" i="1"/>
  <c r="Q32" i="1"/>
  <c r="Q31" i="1"/>
  <c r="L31" i="1"/>
  <c r="L30" i="1"/>
  <c r="R31" i="1"/>
  <c r="R32" i="1"/>
  <c r="R34" i="1"/>
  <c r="R33" i="1"/>
  <c r="L34" i="1"/>
  <c r="L32" i="1"/>
  <c r="L33" i="1"/>
</calcChain>
</file>

<file path=xl/sharedStrings.xml><?xml version="1.0" encoding="utf-8"?>
<sst xmlns="http://schemas.openxmlformats.org/spreadsheetml/2006/main" count="738" uniqueCount="218">
  <si>
    <t>Catchment</t>
  </si>
  <si>
    <t>E</t>
  </si>
  <si>
    <t>Open Space Land</t>
  </si>
  <si>
    <t>Open Space Works</t>
  </si>
  <si>
    <t>Community Facilities Land</t>
  </si>
  <si>
    <t>Community Facilities Works</t>
  </si>
  <si>
    <t>n/a</t>
  </si>
  <si>
    <t xml:space="preserve">Budgewoi District </t>
  </si>
  <si>
    <t>Vincent Road</t>
  </si>
  <si>
    <t>Remainder of the District</t>
  </si>
  <si>
    <t>Roads - Vincent Close</t>
  </si>
  <si>
    <t>Administration</t>
  </si>
  <si>
    <t>The Entrance District</t>
  </si>
  <si>
    <t xml:space="preserve">Bateau Bay </t>
  </si>
  <si>
    <t>Roads</t>
  </si>
  <si>
    <t>Gorokan District</t>
  </si>
  <si>
    <t>Northern Districts</t>
  </si>
  <si>
    <t>B</t>
  </si>
  <si>
    <t>C</t>
  </si>
  <si>
    <t>D</t>
  </si>
  <si>
    <t>Roads*</t>
  </si>
  <si>
    <t>*The roads rate above varies depending on the type of development - refer table below</t>
  </si>
  <si>
    <t>Land Use</t>
  </si>
  <si>
    <t>Residential Dwelling Houses/Lots</t>
  </si>
  <si>
    <t>Medium Density Residential Flat Building:</t>
  </si>
  <si>
    <t>DU</t>
  </si>
  <si>
    <t>Ourimbah District</t>
  </si>
  <si>
    <t>Walmsley Rd</t>
  </si>
  <si>
    <t>Reservoir Rd</t>
  </si>
  <si>
    <t>Glen Rd/Fern Rd</t>
  </si>
  <si>
    <t>Shirley St</t>
  </si>
  <si>
    <t>Southern Lakes District</t>
  </si>
  <si>
    <t>Tumbi Valley Stage 3</t>
  </si>
  <si>
    <t>Hansens Rd Residential</t>
  </si>
  <si>
    <t>Glengara Retirement Village</t>
  </si>
  <si>
    <t>Drainage</t>
  </si>
  <si>
    <t>Berkeley Vale URA</t>
  </si>
  <si>
    <t>Lower Tumbi Valley URA</t>
  </si>
  <si>
    <t>Tumbi Creek Area</t>
  </si>
  <si>
    <t>*refer table below</t>
  </si>
  <si>
    <t>* Lower Tumbi URA Catchments</t>
  </si>
  <si>
    <t xml:space="preserve">A </t>
  </si>
  <si>
    <t xml:space="preserve">B </t>
  </si>
  <si>
    <t xml:space="preserve">D </t>
  </si>
  <si>
    <t xml:space="preserve">E </t>
  </si>
  <si>
    <t xml:space="preserve">F </t>
  </si>
  <si>
    <t xml:space="preserve">G </t>
  </si>
  <si>
    <t xml:space="preserve">H </t>
  </si>
  <si>
    <t>I</t>
  </si>
  <si>
    <t xml:space="preserve">J </t>
  </si>
  <si>
    <t>San Remo District</t>
  </si>
  <si>
    <t>San Remo Medium Density &amp; Highview St</t>
  </si>
  <si>
    <t>Water Quality Land</t>
  </si>
  <si>
    <t>Water Quality Works</t>
  </si>
  <si>
    <t>Shire Wide Admin</t>
  </si>
  <si>
    <t>Shire Wide Cycleway</t>
  </si>
  <si>
    <t>Shire Wide Open Space</t>
  </si>
  <si>
    <t>Shire Wide Arts</t>
  </si>
  <si>
    <t>Toukley District</t>
  </si>
  <si>
    <t>James Rd</t>
  </si>
  <si>
    <t>Studies</t>
  </si>
  <si>
    <t>Per DU</t>
  </si>
  <si>
    <t>Per ha NDA</t>
  </si>
  <si>
    <t>Wyong District</t>
  </si>
  <si>
    <t>Mardi URA</t>
  </si>
  <si>
    <t>Mardi South</t>
  </si>
  <si>
    <t>Watanobbi</t>
  </si>
  <si>
    <t>West Wyong</t>
  </si>
  <si>
    <t>Hue Hue Rd</t>
  </si>
  <si>
    <t>Leewood Close</t>
  </si>
  <si>
    <t>Mardi Segment A</t>
  </si>
  <si>
    <t>Per self-care/flexi care unit</t>
  </si>
  <si>
    <t>A</t>
  </si>
  <si>
    <t>B1</t>
  </si>
  <si>
    <t>B2</t>
  </si>
  <si>
    <t>B3</t>
  </si>
  <si>
    <t>B4</t>
  </si>
  <si>
    <t>C1</t>
  </si>
  <si>
    <t>C2</t>
  </si>
  <si>
    <t>C3</t>
  </si>
  <si>
    <t xml:space="preserve">D1     </t>
  </si>
  <si>
    <t xml:space="preserve">D2        </t>
  </si>
  <si>
    <t xml:space="preserve">D3        </t>
  </si>
  <si>
    <t>F1</t>
  </si>
  <si>
    <t>G1</t>
  </si>
  <si>
    <t>SW</t>
  </si>
  <si>
    <t>H1</t>
  </si>
  <si>
    <t>Roadworks</t>
  </si>
  <si>
    <t>Drainage Land</t>
  </si>
  <si>
    <t>Drainage Works</t>
  </si>
  <si>
    <t xml:space="preserve">Wadalba Corridor land </t>
  </si>
  <si>
    <t>Wadalba Corridor works</t>
  </si>
  <si>
    <t>Adminstration</t>
  </si>
  <si>
    <t xml:space="preserve">n/a </t>
  </si>
  <si>
    <t xml:space="preserve">Original Property Description </t>
  </si>
  <si>
    <t>Property Address in Deed</t>
  </si>
  <si>
    <t>Total Contribution</t>
  </si>
  <si>
    <t>CPG Estate Pty Ltd (Investa)</t>
  </si>
  <si>
    <t>Lot 1 DP 376236</t>
  </si>
  <si>
    <t>531 Pacific Highway</t>
  </si>
  <si>
    <t>A V Jennings Ltd</t>
  </si>
  <si>
    <t>Part Lot 1 DP 180012</t>
  </si>
  <si>
    <t>483 Pacific Highway</t>
  </si>
  <si>
    <t>Westminster Developments Pty Ltd</t>
  </si>
  <si>
    <t>Lot 261 DP 1038214</t>
  </si>
  <si>
    <t>Johns Road</t>
  </si>
  <si>
    <t>Orlit Pty Ltd</t>
  </si>
  <si>
    <t>Lot A DP 386170</t>
  </si>
  <si>
    <t>469 Pacific Highway</t>
  </si>
  <si>
    <t>Lot B DP 386170</t>
  </si>
  <si>
    <t>465 Pacific Highway</t>
  </si>
  <si>
    <t xml:space="preserve">Lot 2 DP1064784 </t>
  </si>
  <si>
    <t>542 Pacific Highway</t>
  </si>
  <si>
    <t>Lot 333 DP 1051976</t>
  </si>
  <si>
    <t>Clydesdale Street</t>
  </si>
  <si>
    <t>Lot 312 DP 808521</t>
  </si>
  <si>
    <t>155 Johns Road</t>
  </si>
  <si>
    <t>Part Lot 28 DP 755245</t>
  </si>
  <si>
    <t>165-175 Johns Rd</t>
  </si>
  <si>
    <t>Threshold Developments Pty Ltd</t>
  </si>
  <si>
    <t>Lot 311 DP 808521</t>
  </si>
  <si>
    <t>Louisiana Road</t>
  </si>
  <si>
    <t>Grandeo Pty Ltd</t>
  </si>
  <si>
    <t>Lot 102 DP 1019019</t>
  </si>
  <si>
    <t>501 Pacific Highway</t>
  </si>
  <si>
    <t>Westminster Developments Pty Ltd &amp; Wadalba Central Developments Pty Ltd</t>
  </si>
  <si>
    <t>Lot 2602 DP 1043825</t>
  </si>
  <si>
    <t>Van Stappen Road</t>
  </si>
  <si>
    <t>Area Sub Total (ha)</t>
  </si>
  <si>
    <t xml:space="preserve">Y &amp; O Shevket </t>
  </si>
  <si>
    <t>Lot 11 DP 1085184</t>
  </si>
  <si>
    <t>Mr M L Percy</t>
  </si>
  <si>
    <t>Lot B 1064184</t>
  </si>
  <si>
    <t>Mrs S A Haddad</t>
  </si>
  <si>
    <t>Lot 1 DP 306056</t>
  </si>
  <si>
    <t>Homeland Village Pty Ltd</t>
  </si>
  <si>
    <t>Lot   DP 536569</t>
  </si>
  <si>
    <t xml:space="preserve">Owners </t>
  </si>
  <si>
    <t>Owners subject to Deed of Agreement</t>
  </si>
  <si>
    <t>Owners not subject to Deed of Agreement</t>
  </si>
  <si>
    <t xml:space="preserve">     Secondary Dwelling</t>
  </si>
  <si>
    <t xml:space="preserve">     One Bedroom</t>
  </si>
  <si>
    <t xml:space="preserve">     Two Bedrooms</t>
  </si>
  <si>
    <t xml:space="preserve">     Three Bedrooms</t>
  </si>
  <si>
    <t xml:space="preserve">     Four or more Bedrooms</t>
  </si>
  <si>
    <t>*Addition to Wadalba Corridor</t>
  </si>
  <si>
    <t>Contribution /   Gross Ha</t>
  </si>
  <si>
    <t xml:space="preserve">Areas to be Cleared (ha) </t>
  </si>
  <si>
    <t xml:space="preserve"> Contribution per ha of Cleared Land</t>
  </si>
  <si>
    <t>TOTAL per Secondary Dwelling</t>
  </si>
  <si>
    <t>Roads District - North Entrance to Bateau Bay</t>
  </si>
  <si>
    <t xml:space="preserve">No of Development Units </t>
  </si>
  <si>
    <t>TOTAL per 2 bedroom dwelling</t>
  </si>
  <si>
    <t xml:space="preserve">TOTAL per 1 bedroom dwelling </t>
  </si>
  <si>
    <t>Wadalba, Woongarrah &amp; Hamlyn Terrace</t>
  </si>
  <si>
    <t>H3,H4,H9,H10,i1,i2&amp;i3</t>
  </si>
  <si>
    <t>H2</t>
  </si>
  <si>
    <t>H5</t>
  </si>
  <si>
    <t>H6</t>
  </si>
  <si>
    <t>H7</t>
  </si>
  <si>
    <t>H8</t>
  </si>
  <si>
    <t>J1</t>
  </si>
  <si>
    <t>WTC 2</t>
  </si>
  <si>
    <t>WTC 4</t>
  </si>
  <si>
    <t>WTC 5</t>
  </si>
  <si>
    <t>WTC 6</t>
  </si>
  <si>
    <t>WTC 7</t>
  </si>
  <si>
    <t>Remainder of Warnervale District</t>
  </si>
  <si>
    <t>Environmental Land</t>
  </si>
  <si>
    <t>Environmental Restoration Works</t>
  </si>
  <si>
    <t>Addition to Wadalba Corridor</t>
  </si>
  <si>
    <t>WTC 1</t>
  </si>
  <si>
    <t>WTC 3</t>
  </si>
  <si>
    <t>TOTAL per 3 bedroom dwelling</t>
  </si>
  <si>
    <r>
      <t>TOTAL Contributions per DU (1 lot or</t>
    </r>
    <r>
      <rPr>
        <b/>
        <sz val="10"/>
        <color rgb="FFFF0000"/>
        <rFont val="Segoe UI"/>
        <family val="2"/>
      </rPr>
      <t xml:space="preserve"> 4 bedroom dwelling</t>
    </r>
    <r>
      <rPr>
        <b/>
        <sz val="10"/>
        <rFont val="Segoe UI"/>
        <family val="2"/>
      </rPr>
      <t>)</t>
    </r>
  </si>
  <si>
    <t xml:space="preserve">Precinct 7A </t>
  </si>
  <si>
    <t>Warnervale Town Centre</t>
  </si>
  <si>
    <t>TOTAL per lot</t>
  </si>
  <si>
    <t>TOTAL per Self Care Unit</t>
  </si>
  <si>
    <t>Per Net Developable Area</t>
  </si>
  <si>
    <t>Wyong Shire Water Supply</t>
  </si>
  <si>
    <t>Wyong Shire Sewerage</t>
  </si>
  <si>
    <t xml:space="preserve">TOTAL </t>
  </si>
  <si>
    <t>Per Lot</t>
  </si>
  <si>
    <t>Rates in Table below</t>
  </si>
  <si>
    <t>As per Table below</t>
  </si>
  <si>
    <t xml:space="preserve">CATCHMENT </t>
  </si>
  <si>
    <t>Cost per DVT</t>
  </si>
  <si>
    <t>Non-residential developments</t>
  </si>
  <si>
    <t>Residential unit developments (based on 7.4 trips per 4 bedroom dwell.)</t>
  </si>
  <si>
    <t>North Wyong Industrial</t>
  </si>
  <si>
    <t>Employment Corridor</t>
  </si>
  <si>
    <t>Warnervale Education Site</t>
  </si>
  <si>
    <t xml:space="preserve">BRUCE CRESCENT </t>
  </si>
  <si>
    <t>GRAMMAR SCHOOL</t>
  </si>
  <si>
    <t>Cost per Development Unit (DU) - per 4 bedroom dwelling</t>
  </si>
  <si>
    <t>Wadalba 8B1 &amp; 8C</t>
  </si>
  <si>
    <t>Mackillop Catholic College</t>
  </si>
  <si>
    <t>GP Super Clinic</t>
  </si>
  <si>
    <t xml:space="preserve">*Roadworks contributions </t>
  </si>
  <si>
    <r>
      <t xml:space="preserve">TOTAL per 2 bedroom dwelling </t>
    </r>
    <r>
      <rPr>
        <sz val="10"/>
        <rFont val="Segoe UI"/>
        <family val="2"/>
      </rPr>
      <t>(including secondary dwelling)</t>
    </r>
  </si>
  <si>
    <r>
      <t xml:space="preserve">TOTAL per 1 bedroom dwelling </t>
    </r>
    <r>
      <rPr>
        <sz val="10"/>
        <rFont val="Segoe UI"/>
        <family val="2"/>
      </rPr>
      <t>(including secondary dwelling)</t>
    </r>
  </si>
  <si>
    <t>Rates Indexed at start of Financial Year</t>
  </si>
  <si>
    <t xml:space="preserve"> under Water Management Act for Residential Development</t>
  </si>
  <si>
    <t>Indexed Quarterly to</t>
  </si>
  <si>
    <t>Indexation rate factor from Base Date</t>
  </si>
  <si>
    <t>Water &amp; Sewer Charges For Residential Development</t>
  </si>
  <si>
    <r>
      <t>TOTAL per</t>
    </r>
    <r>
      <rPr>
        <b/>
        <sz val="10"/>
        <color rgb="FFFF0000"/>
        <rFont val="Segoe UI"/>
        <family val="2"/>
      </rPr>
      <t xml:space="preserve"> 3 or 4 bedroom dwelling</t>
    </r>
  </si>
  <si>
    <t>Next indexation due</t>
  </si>
  <si>
    <t>TOTAL per 4 bedroom dwelling</t>
  </si>
  <si>
    <t>Blue Haven Medium Density &amp; URA</t>
  </si>
  <si>
    <t>Water Quality Catchment - Blue Haven</t>
  </si>
  <si>
    <t>https://www.wyong.nsw.gov.au/building-and-development/development-contributions-section-94/water-and-sewer-dsp</t>
  </si>
  <si>
    <t>For non-residential water and sewer factors, please refer to the DSP at the following link:</t>
  </si>
  <si>
    <t>I7</t>
  </si>
  <si>
    <t>K</t>
  </si>
  <si>
    <t xml:space="preserve">Section 7.11 Development Contribution Rates for Residential Development </t>
  </si>
  <si>
    <t>Note: There was no increase in the CPI from the December 2018 quarter to the March 2019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</si>
</sst>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_(&quot;$&quot;* #,##0.00_);_(&quot;$&quot;* \(#,##0.00\);_(&quot;$&quot;* &quot;-&quot;??_);_(@_)"/>
    <numFmt numFmtId="166" formatCode="&quot;$&quot;#,##0.00"/>
    <numFmt numFmtId="167" formatCode="0.00000000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color indexed="8"/>
      <name val="Abadi MT Condensed Light"/>
      <family val="2"/>
    </font>
    <font>
      <b/>
      <sz val="12"/>
      <color indexed="9"/>
      <name val="Abadi MT Condensed Light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8"/>
      <color indexed="22"/>
      <name val="Cambria"/>
      <family val="2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b/>
      <sz val="10"/>
      <name val="Segoe UI"/>
      <family val="2"/>
    </font>
    <font>
      <b/>
      <sz val="14"/>
      <color theme="1"/>
      <name val="Segoe UI"/>
      <family val="2"/>
    </font>
    <font>
      <sz val="10"/>
      <name val="Tahoma"/>
      <family val="2"/>
    </font>
    <font>
      <b/>
      <sz val="11"/>
      <color rgb="FF005BA8"/>
      <name val="Segoe UI"/>
      <family val="2"/>
    </font>
    <font>
      <i/>
      <sz val="10"/>
      <name val="Segoe UI"/>
      <family val="2"/>
    </font>
    <font>
      <b/>
      <sz val="11"/>
      <color theme="1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12"/>
      <name val="Arial"/>
      <family val="2"/>
    </font>
    <font>
      <sz val="11"/>
      <name val="Arial"/>
      <family val="2"/>
    </font>
    <font>
      <sz val="8"/>
      <color theme="1"/>
      <name val="Segoe UI"/>
      <family val="2"/>
    </font>
    <font>
      <b/>
      <sz val="8"/>
      <name val="Arial"/>
      <family val="2"/>
    </font>
    <font>
      <b/>
      <sz val="10"/>
      <color rgb="FFFF0000"/>
      <name val="Segoe UI"/>
      <family val="2"/>
    </font>
    <font>
      <b/>
      <sz val="11"/>
      <name val="Arial"/>
      <family val="2"/>
    </font>
    <font>
      <sz val="10"/>
      <color rgb="FFFF0000"/>
      <name val="Segoe UI"/>
      <family val="2"/>
    </font>
    <font>
      <sz val="9"/>
      <color rgb="FFFF0000"/>
      <name val="Segoe UI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46"/>
      <name val="Arial"/>
      <family val="2"/>
    </font>
    <font>
      <b/>
      <sz val="10"/>
      <color indexed="57"/>
      <name val="Arial"/>
      <family val="2"/>
    </font>
    <font>
      <b/>
      <sz val="10"/>
      <color indexed="50"/>
      <name val="Arial"/>
      <family val="2"/>
    </font>
    <font>
      <b/>
      <sz val="10"/>
      <color indexed="53"/>
      <name val="Arial"/>
      <family val="2"/>
    </font>
    <font>
      <b/>
      <sz val="10"/>
      <color indexed="49"/>
      <name val="Arial"/>
      <family val="2"/>
    </font>
    <font>
      <b/>
      <sz val="12"/>
      <color theme="1"/>
      <name val="Segoe UI"/>
      <family val="2"/>
    </font>
    <font>
      <b/>
      <sz val="20"/>
      <color theme="4" tint="-0.249977111117893"/>
      <name val="Segoe UI"/>
      <family val="2"/>
    </font>
    <font>
      <sz val="20"/>
      <color theme="1"/>
      <name val="Segoe UI"/>
      <family val="2"/>
    </font>
    <font>
      <sz val="20"/>
      <name val="Segoe UI"/>
      <family val="2"/>
    </font>
    <font>
      <b/>
      <sz val="20"/>
      <name val="Segoe UI"/>
      <family val="2"/>
    </font>
    <font>
      <b/>
      <sz val="18"/>
      <color rgb="FFFF0000"/>
      <name val="Segoe UI"/>
      <family val="2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</patternFill>
    </fill>
    <fill>
      <patternFill patternType="solid">
        <fgColor indexed="34"/>
      </patternFill>
    </fill>
    <fill>
      <patternFill patternType="solid">
        <fgColor indexed="41"/>
      </patternFill>
    </fill>
    <fill>
      <patternFill patternType="solid">
        <fgColor indexed="35"/>
      </patternFill>
    </fill>
    <fill>
      <patternFill patternType="solid">
        <fgColor indexed="28"/>
      </patternFill>
    </fill>
    <fill>
      <patternFill patternType="solid">
        <fgColor indexed="5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4CC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D3D3"/>
        <bgColor indexed="64"/>
      </patternFill>
    </fill>
    <fill>
      <patternFill patternType="solid">
        <fgColor rgb="FFD1ECE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A46"/>
        <bgColor indexed="64"/>
      </patternFill>
    </fill>
    <fill>
      <patternFill patternType="solid">
        <fgColor rgb="FF33CCCC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35"/>
      </bottom>
      <diagonal/>
    </border>
    <border>
      <left/>
      <right/>
      <top/>
      <bottom style="medium">
        <color indexed="49"/>
      </bottom>
      <diagonal/>
    </border>
    <border>
      <left style="thin">
        <color indexed="35"/>
      </left>
      <right style="thin">
        <color indexed="35"/>
      </right>
      <top style="thin">
        <color indexed="35"/>
      </top>
      <bottom style="thin">
        <color indexed="35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</borders>
  <cellStyleXfs count="19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3" fillId="21" borderId="0">
      <protection locked="0"/>
    </xf>
    <xf numFmtId="0" fontId="11" fillId="22" borderId="2" applyNumberFormat="0" applyAlignment="0" applyProtection="0"/>
    <xf numFmtId="0" fontId="3" fillId="23" borderId="3">
      <alignment horizontal="center" vertical="center"/>
      <protection locked="0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23" borderId="0">
      <alignment vertical="center"/>
      <protection locked="0"/>
    </xf>
    <xf numFmtId="0" fontId="4" fillId="0" borderId="0">
      <protection locked="0"/>
    </xf>
    <xf numFmtId="0" fontId="13" fillId="4" borderId="0" applyNumberFormat="0" applyBorder="0" applyAlignment="0" applyProtection="0"/>
    <xf numFmtId="0" fontId="5" fillId="0" borderId="0">
      <protection locked="0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7" applyNumberFormat="0" applyFill="0" applyAlignment="0" applyProtection="0"/>
    <xf numFmtId="0" fontId="19" fillId="24" borderId="0" applyNumberFormat="0" applyBorder="0" applyAlignment="0" applyProtection="0"/>
    <xf numFmtId="0" fontId="3" fillId="25" borderId="8" applyNumberFormat="0" applyFont="0" applyAlignment="0" applyProtection="0"/>
    <xf numFmtId="0" fontId="20" fillId="20" borderId="9" applyNumberFormat="0" applyAlignment="0" applyProtection="0"/>
    <xf numFmtId="40" fontId="21" fillId="26" borderId="0">
      <alignment horizontal="right"/>
    </xf>
    <xf numFmtId="0" fontId="22" fillId="27" borderId="10"/>
    <xf numFmtId="0" fontId="3" fillId="23" borderId="11">
      <alignment vertical="center"/>
      <protection locked="0"/>
    </xf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3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3" fillId="21" borderId="0">
      <protection locked="0"/>
    </xf>
    <xf numFmtId="0" fontId="11" fillId="22" borderId="2" applyNumberFormat="0" applyAlignment="0" applyProtection="0"/>
    <xf numFmtId="0" fontId="3" fillId="23" borderId="3">
      <alignment horizontal="center" vertical="center"/>
      <protection locked="0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7" applyNumberFormat="0" applyFill="0" applyAlignment="0" applyProtection="0"/>
    <xf numFmtId="0" fontId="19" fillId="24" borderId="0" applyNumberFormat="0" applyBorder="0" applyAlignment="0" applyProtection="0"/>
    <xf numFmtId="0" fontId="3" fillId="25" borderId="8" applyNumberFormat="0" applyFont="0" applyAlignment="0" applyProtection="0"/>
    <xf numFmtId="0" fontId="20" fillId="20" borderId="9" applyNumberFormat="0" applyAlignment="0" applyProtection="0"/>
    <xf numFmtId="0" fontId="3" fillId="23" borderId="11">
      <alignment vertical="center"/>
      <protection locked="0"/>
    </xf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3" borderId="11">
      <alignment vertical="center"/>
      <protection locked="0"/>
    </xf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7" borderId="0" applyNumberFormat="0" applyBorder="0" applyAlignment="0" applyProtection="0"/>
    <xf numFmtId="0" fontId="8" fillId="2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0" fillId="28" borderId="26" applyNumberFormat="0" applyAlignment="0" applyProtection="0"/>
    <xf numFmtId="43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27" applyNumberFormat="0" applyFill="0" applyAlignment="0" applyProtection="0"/>
    <xf numFmtId="0" fontId="29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17" fillId="7" borderId="26" applyNumberFormat="0" applyAlignment="0" applyProtection="0"/>
    <xf numFmtId="0" fontId="1" fillId="0" borderId="0"/>
    <xf numFmtId="0" fontId="3" fillId="24" borderId="29" applyNumberFormat="0" applyFont="0" applyAlignment="0" applyProtection="0"/>
    <xf numFmtId="0" fontId="20" fillId="28" borderId="9" applyNumberFormat="0" applyAlignment="0" applyProtection="0"/>
    <xf numFmtId="0" fontId="30" fillId="0" borderId="0" applyNumberFormat="0" applyFill="0" applyBorder="0" applyAlignment="0" applyProtection="0"/>
    <xf numFmtId="0" fontId="24" fillId="0" borderId="30" applyNumberFormat="0" applyFill="0" applyAlignment="0" applyProtection="0"/>
    <xf numFmtId="0" fontId="10" fillId="28" borderId="26" applyNumberFormat="0" applyAlignment="0" applyProtection="0"/>
    <xf numFmtId="0" fontId="17" fillId="7" borderId="26" applyNumberFormat="0" applyAlignment="0" applyProtection="0"/>
    <xf numFmtId="0" fontId="3" fillId="24" borderId="29" applyNumberFormat="0" applyFont="0" applyAlignment="0" applyProtection="0"/>
    <xf numFmtId="0" fontId="20" fillId="28" borderId="9" applyNumberFormat="0" applyAlignment="0" applyProtection="0"/>
    <xf numFmtId="0" fontId="24" fillId="0" borderId="30" applyNumberFormat="0" applyFill="0" applyAlignment="0" applyProtection="0"/>
    <xf numFmtId="0" fontId="20" fillId="20" borderId="9" applyNumberFormat="0" applyAlignment="0" applyProtection="0"/>
    <xf numFmtId="0" fontId="10" fillId="20" borderId="1" applyNumberFormat="0" applyAlignment="0" applyProtection="0"/>
    <xf numFmtId="0" fontId="20" fillId="20" borderId="9" applyNumberFormat="0" applyAlignment="0" applyProtection="0"/>
    <xf numFmtId="0" fontId="1" fillId="0" borderId="0"/>
    <xf numFmtId="0" fontId="24" fillId="0" borderId="12" applyNumberFormat="0" applyFill="0" applyAlignment="0" applyProtection="0"/>
    <xf numFmtId="0" fontId="3" fillId="25" borderId="8" applyNumberFormat="0" applyFont="0" applyAlignment="0" applyProtection="0"/>
    <xf numFmtId="0" fontId="17" fillId="7" borderId="1" applyNumberFormat="0" applyAlignment="0" applyProtection="0"/>
    <xf numFmtId="0" fontId="20" fillId="20" borderId="9" applyNumberFormat="0" applyAlignment="0" applyProtection="0"/>
    <xf numFmtId="0" fontId="3" fillId="23" borderId="11">
      <alignment vertical="center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3" borderId="11">
      <alignment vertical="center"/>
      <protection locked="0"/>
    </xf>
    <xf numFmtId="0" fontId="10" fillId="28" borderId="26" applyNumberFormat="0" applyAlignment="0" applyProtection="0"/>
    <xf numFmtId="43" fontId="3" fillId="0" borderId="0" applyFont="0" applyFill="0" applyBorder="0" applyAlignment="0" applyProtection="0"/>
    <xf numFmtId="0" fontId="17" fillId="7" borderId="26" applyNumberFormat="0" applyAlignment="0" applyProtection="0"/>
    <xf numFmtId="0" fontId="1" fillId="0" borderId="0"/>
    <xf numFmtId="0" fontId="3" fillId="24" borderId="29" applyNumberFormat="0" applyFont="0" applyAlignment="0" applyProtection="0"/>
    <xf numFmtId="0" fontId="20" fillId="28" borderId="9" applyNumberFormat="0" applyAlignment="0" applyProtection="0"/>
    <xf numFmtId="0" fontId="24" fillId="0" borderId="30" applyNumberFormat="0" applyFill="0" applyAlignment="0" applyProtection="0"/>
    <xf numFmtId="0" fontId="10" fillId="28" borderId="26" applyNumberFormat="0" applyAlignment="0" applyProtection="0"/>
    <xf numFmtId="0" fontId="17" fillId="7" borderId="26" applyNumberFormat="0" applyAlignment="0" applyProtection="0"/>
    <xf numFmtId="0" fontId="3" fillId="24" borderId="29" applyNumberFormat="0" applyFont="0" applyAlignment="0" applyProtection="0"/>
    <xf numFmtId="0" fontId="20" fillId="28" borderId="9" applyNumberFormat="0" applyAlignment="0" applyProtection="0"/>
    <xf numFmtId="0" fontId="24" fillId="0" borderId="30" applyNumberFormat="0" applyFill="0" applyAlignment="0" applyProtection="0"/>
    <xf numFmtId="0" fontId="10" fillId="20" borderId="1" applyNumberFormat="0" applyAlignment="0" applyProtection="0"/>
    <xf numFmtId="0" fontId="17" fillId="7" borderId="1" applyNumberFormat="0" applyAlignment="0" applyProtection="0"/>
    <xf numFmtId="0" fontId="3" fillId="25" borderId="8" applyNumberFormat="0" applyFont="0" applyAlignment="0" applyProtection="0"/>
    <xf numFmtId="0" fontId="20" fillId="20" borderId="9" applyNumberFormat="0" applyAlignment="0" applyProtection="0"/>
    <xf numFmtId="0" fontId="24" fillId="0" borderId="12" applyNumberFormat="0" applyFill="0" applyAlignment="0" applyProtection="0"/>
    <xf numFmtId="0" fontId="3" fillId="23" borderId="11">
      <alignment vertical="center"/>
      <protection locked="0"/>
    </xf>
    <xf numFmtId="0" fontId="10" fillId="28" borderId="26" applyNumberFormat="0" applyAlignment="0" applyProtection="0"/>
    <xf numFmtId="0" fontId="17" fillId="7" borderId="26" applyNumberFormat="0" applyAlignment="0" applyProtection="0"/>
    <xf numFmtId="0" fontId="3" fillId="24" borderId="29" applyNumberFormat="0" applyFont="0" applyAlignment="0" applyProtection="0"/>
    <xf numFmtId="0" fontId="20" fillId="28" borderId="9" applyNumberFormat="0" applyAlignment="0" applyProtection="0"/>
    <xf numFmtId="0" fontId="10" fillId="28" borderId="26" applyNumberFormat="0" applyAlignment="0" applyProtection="0"/>
    <xf numFmtId="0" fontId="17" fillId="7" borderId="26" applyNumberFormat="0" applyAlignment="0" applyProtection="0"/>
    <xf numFmtId="0" fontId="3" fillId="24" borderId="29" applyNumberFormat="0" applyFont="0" applyAlignment="0" applyProtection="0"/>
    <xf numFmtId="0" fontId="20" fillId="28" borderId="9" applyNumberFormat="0" applyAlignment="0" applyProtection="0"/>
    <xf numFmtId="0" fontId="3" fillId="23" borderId="11">
      <alignment vertical="center"/>
      <protection locked="0"/>
    </xf>
    <xf numFmtId="0" fontId="3" fillId="0" borderId="0"/>
    <xf numFmtId="0" fontId="1" fillId="0" borderId="0"/>
    <xf numFmtId="0" fontId="3" fillId="0" borderId="0"/>
    <xf numFmtId="165" fontId="35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52">
    <xf numFmtId="0" fontId="0" fillId="0" borderId="0" xfId="0"/>
    <xf numFmtId="44" fontId="6" fillId="0" borderId="14" xfId="1" applyFont="1" applyFill="1" applyBorder="1" applyAlignment="1">
      <alignment horizontal="center" vertical="center"/>
    </xf>
    <xf numFmtId="44" fontId="6" fillId="0" borderId="16" xfId="1" applyFont="1" applyFill="1" applyBorder="1" applyAlignment="1">
      <alignment horizontal="center" vertical="center"/>
    </xf>
    <xf numFmtId="44" fontId="6" fillId="0" borderId="0" xfId="1" applyFont="1" applyFill="1" applyBorder="1" applyAlignment="1">
      <alignment horizontal="center" vertical="center"/>
    </xf>
    <xf numFmtId="44" fontId="6" fillId="0" borderId="39" xfId="1" applyFont="1" applyFill="1" applyBorder="1" applyAlignment="1">
      <alignment horizontal="center" vertical="center"/>
    </xf>
    <xf numFmtId="44" fontId="6" fillId="0" borderId="42" xfId="1" applyFont="1" applyFill="1" applyBorder="1" applyAlignment="1">
      <alignment horizontal="center" vertical="center"/>
    </xf>
    <xf numFmtId="44" fontId="32" fillId="0" borderId="39" xfId="1" applyFont="1" applyFill="1" applyBorder="1" applyAlignment="1">
      <alignment horizontal="center" vertical="center"/>
    </xf>
    <xf numFmtId="44" fontId="32" fillId="0" borderId="42" xfId="1" applyFont="1" applyFill="1" applyBorder="1" applyAlignment="1">
      <alignment horizontal="center" vertical="center"/>
    </xf>
    <xf numFmtId="44" fontId="32" fillId="0" borderId="35" xfId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44" fontId="32" fillId="0" borderId="45" xfId="1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 wrapText="1"/>
    </xf>
    <xf numFmtId="0" fontId="33" fillId="35" borderId="33" xfId="2" applyFont="1" applyFill="1" applyBorder="1" applyAlignment="1">
      <alignment horizontal="center" vertical="center" wrapText="1"/>
    </xf>
    <xf numFmtId="0" fontId="33" fillId="35" borderId="31" xfId="2" applyFont="1" applyFill="1" applyBorder="1" applyAlignment="1">
      <alignment horizontal="center" vertical="center" wrapText="1"/>
    </xf>
    <xf numFmtId="0" fontId="36" fillId="0" borderId="0" xfId="2" applyFont="1" applyBorder="1" applyAlignment="1">
      <alignment vertical="center"/>
    </xf>
    <xf numFmtId="44" fontId="32" fillId="0" borderId="44" xfId="1" applyFont="1" applyBorder="1" applyAlignment="1">
      <alignment horizontal="center" vertical="center"/>
    </xf>
    <xf numFmtId="44" fontId="32" fillId="0" borderId="47" xfId="1" applyFont="1" applyBorder="1" applyAlignment="1">
      <alignment horizontal="center" vertical="center"/>
    </xf>
    <xf numFmtId="0" fontId="33" fillId="35" borderId="45" xfId="0" applyFont="1" applyFill="1" applyBorder="1" applyAlignment="1">
      <alignment horizontal="center" vertical="center" wrapText="1"/>
    </xf>
    <xf numFmtId="0" fontId="33" fillId="35" borderId="46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left" vertical="center" wrapText="1"/>
    </xf>
    <xf numFmtId="44" fontId="6" fillId="0" borderId="45" xfId="1" applyFont="1" applyBorder="1" applyAlignment="1">
      <alignment horizontal="left" vertical="center"/>
    </xf>
    <xf numFmtId="44" fontId="6" fillId="0" borderId="25" xfId="1" applyFont="1" applyFill="1" applyBorder="1" applyAlignment="1">
      <alignment horizontal="left" vertical="center"/>
    </xf>
    <xf numFmtId="44" fontId="32" fillId="0" borderId="14" xfId="1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164" fontId="33" fillId="0" borderId="47" xfId="0" applyNumberFormat="1" applyFont="1" applyBorder="1" applyAlignment="1">
      <alignment horizontal="left" vertical="center"/>
    </xf>
    <xf numFmtId="44" fontId="32" fillId="0" borderId="0" xfId="0" applyNumberFormat="1" applyFont="1" applyBorder="1" applyAlignment="1">
      <alignment horizontal="left" vertical="center"/>
    </xf>
    <xf numFmtId="44" fontId="32" fillId="38" borderId="38" xfId="1" applyFont="1" applyFill="1" applyBorder="1" applyAlignment="1">
      <alignment horizontal="center" vertical="center"/>
    </xf>
    <xf numFmtId="0" fontId="32" fillId="38" borderId="49" xfId="0" applyFont="1" applyFill="1" applyBorder="1" applyAlignment="1">
      <alignment horizontal="center" vertical="center"/>
    </xf>
    <xf numFmtId="166" fontId="6" fillId="0" borderId="17" xfId="0" applyNumberFormat="1" applyFont="1" applyBorder="1" applyAlignment="1">
      <alignment horizontal="center" vertical="center" wrapText="1"/>
    </xf>
    <xf numFmtId="166" fontId="6" fillId="0" borderId="32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164" fontId="33" fillId="0" borderId="45" xfId="2" applyNumberFormat="1" applyFont="1" applyBorder="1" applyAlignment="1">
      <alignment horizontal="center" vertical="center"/>
    </xf>
    <xf numFmtId="2" fontId="6" fillId="0" borderId="45" xfId="1" applyNumberFormat="1" applyFont="1" applyBorder="1" applyAlignment="1">
      <alignment horizontal="center" vertical="center"/>
    </xf>
    <xf numFmtId="0" fontId="33" fillId="0" borderId="25" xfId="2" applyFont="1" applyFill="1" applyBorder="1" applyAlignment="1">
      <alignment horizontal="center" vertical="center" wrapText="1"/>
    </xf>
    <xf numFmtId="2" fontId="6" fillId="0" borderId="36" xfId="1" applyNumberFormat="1" applyFont="1" applyFill="1" applyBorder="1" applyAlignment="1">
      <alignment horizontal="center" vertical="center"/>
    </xf>
    <xf numFmtId="44" fontId="6" fillId="0" borderId="36" xfId="1" applyFont="1" applyFill="1" applyBorder="1" applyAlignment="1">
      <alignment horizontal="left" vertical="center"/>
    </xf>
    <xf numFmtId="0" fontId="33" fillId="0" borderId="52" xfId="2" applyFont="1" applyFill="1" applyBorder="1" applyAlignment="1">
      <alignment horizontal="center" vertical="center" wrapText="1"/>
    </xf>
    <xf numFmtId="2" fontId="6" fillId="0" borderId="53" xfId="1" applyNumberFormat="1" applyFont="1" applyFill="1" applyBorder="1" applyAlignment="1">
      <alignment horizontal="center" vertical="center"/>
    </xf>
    <xf numFmtId="44" fontId="6" fillId="0" borderId="53" xfId="1" applyFont="1" applyFill="1" applyBorder="1" applyAlignment="1">
      <alignment horizontal="left" vertical="center"/>
    </xf>
    <xf numFmtId="0" fontId="33" fillId="40" borderId="14" xfId="2" applyFont="1" applyFill="1" applyBorder="1" applyAlignment="1">
      <alignment horizontal="center" vertical="center" wrapText="1"/>
    </xf>
    <xf numFmtId="0" fontId="33" fillId="41" borderId="14" xfId="2" applyFont="1" applyFill="1" applyBorder="1" applyAlignment="1">
      <alignment horizontal="center" vertical="center" wrapText="1"/>
    </xf>
    <xf numFmtId="2" fontId="6" fillId="41" borderId="17" xfId="1" applyNumberFormat="1" applyFont="1" applyFill="1" applyBorder="1" applyAlignment="1">
      <alignment horizontal="center" vertical="center"/>
    </xf>
    <xf numFmtId="44" fontId="6" fillId="41" borderId="17" xfId="1" applyFont="1" applyFill="1" applyBorder="1" applyAlignment="1">
      <alignment horizontal="left" vertical="center"/>
    </xf>
    <xf numFmtId="44" fontId="6" fillId="41" borderId="14" xfId="1" applyFont="1" applyFill="1" applyBorder="1" applyAlignment="1">
      <alignment horizontal="left" vertical="center"/>
    </xf>
    <xf numFmtId="0" fontId="33" fillId="42" borderId="14" xfId="2" applyFont="1" applyFill="1" applyBorder="1" applyAlignment="1">
      <alignment horizontal="center" vertical="center" wrapText="1"/>
    </xf>
    <xf numFmtId="2" fontId="6" fillId="42" borderId="17" xfId="1" applyNumberFormat="1" applyFont="1" applyFill="1" applyBorder="1" applyAlignment="1">
      <alignment horizontal="center" vertical="center"/>
    </xf>
    <xf numFmtId="44" fontId="6" fillId="42" borderId="17" xfId="1" applyFont="1" applyFill="1" applyBorder="1" applyAlignment="1">
      <alignment horizontal="left" vertical="center"/>
    </xf>
    <xf numFmtId="44" fontId="6" fillId="42" borderId="14" xfId="1" applyFont="1" applyFill="1" applyBorder="1" applyAlignment="1">
      <alignment horizontal="left" vertical="center"/>
    </xf>
    <xf numFmtId="0" fontId="33" fillId="43" borderId="14" xfId="2" applyFont="1" applyFill="1" applyBorder="1" applyAlignment="1">
      <alignment horizontal="center" vertical="center" wrapText="1"/>
    </xf>
    <xf numFmtId="2" fontId="6" fillId="43" borderId="17" xfId="1" applyNumberFormat="1" applyFont="1" applyFill="1" applyBorder="1" applyAlignment="1">
      <alignment horizontal="center" vertical="center"/>
    </xf>
    <xf numFmtId="2" fontId="6" fillId="43" borderId="17" xfId="1" applyNumberFormat="1" applyFont="1" applyFill="1" applyBorder="1" applyAlignment="1">
      <alignment horizontal="center" vertical="center" wrapText="1"/>
    </xf>
    <xf numFmtId="44" fontId="6" fillId="43" borderId="17" xfId="1" applyFont="1" applyFill="1" applyBorder="1" applyAlignment="1">
      <alignment horizontal="left" vertical="center" wrapText="1"/>
    </xf>
    <xf numFmtId="44" fontId="6" fillId="43" borderId="14" xfId="1" applyFont="1" applyFill="1" applyBorder="1" applyAlignment="1">
      <alignment horizontal="left" vertical="center" wrapText="1"/>
    </xf>
    <xf numFmtId="2" fontId="6" fillId="40" borderId="14" xfId="1" applyNumberFormat="1" applyFont="1" applyFill="1" applyBorder="1" applyAlignment="1">
      <alignment horizontal="center" vertical="center" wrapText="1"/>
    </xf>
    <xf numFmtId="44" fontId="6" fillId="40" borderId="14" xfId="1" applyFont="1" applyFill="1" applyBorder="1" applyAlignment="1">
      <alignment horizontal="left" vertical="center" wrapText="1"/>
    </xf>
    <xf numFmtId="2" fontId="6" fillId="40" borderId="17" xfId="1" applyNumberFormat="1" applyFont="1" applyFill="1" applyBorder="1" applyAlignment="1">
      <alignment horizontal="center" vertical="center" wrapText="1"/>
    </xf>
    <xf numFmtId="0" fontId="33" fillId="39" borderId="14" xfId="2" applyFont="1" applyFill="1" applyBorder="1" applyAlignment="1">
      <alignment horizontal="center" vertical="center" wrapText="1"/>
    </xf>
    <xf numFmtId="2" fontId="6" fillId="39" borderId="13" xfId="1" applyNumberFormat="1" applyFont="1" applyFill="1" applyBorder="1" applyAlignment="1">
      <alignment horizontal="center" vertical="center" wrapText="1"/>
    </xf>
    <xf numFmtId="44" fontId="6" fillId="39" borderId="17" xfId="1" applyFont="1" applyFill="1" applyBorder="1" applyAlignment="1">
      <alignment horizontal="left" vertical="center"/>
    </xf>
    <xf numFmtId="44" fontId="6" fillId="39" borderId="14" xfId="1" applyFont="1" applyFill="1" applyBorder="1" applyAlignment="1">
      <alignment horizontal="center" vertical="center"/>
    </xf>
    <xf numFmtId="44" fontId="6" fillId="39" borderId="17" xfId="1" applyFont="1" applyFill="1" applyBorder="1" applyAlignment="1">
      <alignment horizontal="center" vertical="center"/>
    </xf>
    <xf numFmtId="0" fontId="33" fillId="43" borderId="13" xfId="2" applyFont="1" applyFill="1" applyBorder="1" applyAlignment="1">
      <alignment horizontal="center" vertical="center" wrapText="1"/>
    </xf>
    <xf numFmtId="2" fontId="6" fillId="43" borderId="32" xfId="1" applyNumberFormat="1" applyFont="1" applyFill="1" applyBorder="1" applyAlignment="1">
      <alignment horizontal="center" vertical="center" wrapText="1"/>
    </xf>
    <xf numFmtId="44" fontId="6" fillId="43" borderId="32" xfId="1" applyFont="1" applyFill="1" applyBorder="1" applyAlignment="1">
      <alignment horizontal="left" vertical="center" wrapText="1"/>
    </xf>
    <xf numFmtId="44" fontId="6" fillId="43" borderId="13" xfId="1" applyFont="1" applyFill="1" applyBorder="1" applyAlignment="1">
      <alignment horizontal="left" vertical="center" wrapText="1"/>
    </xf>
    <xf numFmtId="44" fontId="6" fillId="39" borderId="14" xfId="1" applyFont="1" applyFill="1" applyBorder="1" applyAlignment="1">
      <alignment horizontal="left" vertical="center"/>
    </xf>
    <xf numFmtId="0" fontId="33" fillId="44" borderId="24" xfId="2" applyFont="1" applyFill="1" applyBorder="1" applyAlignment="1">
      <alignment horizontal="center" vertical="center" wrapText="1"/>
    </xf>
    <xf numFmtId="2" fontId="6" fillId="44" borderId="14" xfId="1" applyNumberFormat="1" applyFont="1" applyFill="1" applyBorder="1" applyAlignment="1">
      <alignment horizontal="center" vertical="center" wrapText="1"/>
    </xf>
    <xf numFmtId="44" fontId="6" fillId="44" borderId="17" xfId="1" applyFont="1" applyFill="1" applyBorder="1" applyAlignment="1">
      <alignment horizontal="center" vertical="center"/>
    </xf>
    <xf numFmtId="44" fontId="32" fillId="44" borderId="14" xfId="0" applyNumberFormat="1" applyFont="1" applyFill="1" applyBorder="1" applyAlignment="1">
      <alignment horizontal="left" vertical="center"/>
    </xf>
    <xf numFmtId="44" fontId="6" fillId="44" borderId="14" xfId="1" applyFont="1" applyFill="1" applyBorder="1" applyAlignment="1">
      <alignment horizontal="center" vertical="center" wrapText="1"/>
    </xf>
    <xf numFmtId="0" fontId="32" fillId="44" borderId="14" xfId="0" applyFont="1" applyFill="1" applyBorder="1" applyAlignment="1">
      <alignment horizontal="center" vertical="center"/>
    </xf>
    <xf numFmtId="0" fontId="33" fillId="45" borderId="14" xfId="2" applyFont="1" applyFill="1" applyBorder="1" applyAlignment="1">
      <alignment horizontal="center" vertical="center" wrapText="1"/>
    </xf>
    <xf numFmtId="2" fontId="6" fillId="45" borderId="14" xfId="1" applyNumberFormat="1" applyFont="1" applyFill="1" applyBorder="1" applyAlignment="1">
      <alignment horizontal="center" vertical="center" wrapText="1"/>
    </xf>
    <xf numFmtId="44" fontId="6" fillId="45" borderId="17" xfId="1" applyFont="1" applyFill="1" applyBorder="1" applyAlignment="1">
      <alignment horizontal="center" vertical="center"/>
    </xf>
    <xf numFmtId="44" fontId="32" fillId="45" borderId="14" xfId="0" applyNumberFormat="1" applyFont="1" applyFill="1" applyBorder="1" applyAlignment="1">
      <alignment horizontal="left" vertical="center"/>
    </xf>
    <xf numFmtId="44" fontId="6" fillId="45" borderId="14" xfId="1" applyFont="1" applyFill="1" applyBorder="1" applyAlignment="1">
      <alignment horizontal="center" vertical="center" wrapText="1"/>
    </xf>
    <xf numFmtId="0" fontId="32" fillId="45" borderId="14" xfId="0" applyFont="1" applyFill="1" applyBorder="1" applyAlignment="1">
      <alignment horizontal="center" vertical="center"/>
    </xf>
    <xf numFmtId="44" fontId="6" fillId="45" borderId="22" xfId="1" applyFont="1" applyFill="1" applyBorder="1" applyAlignment="1">
      <alignment horizontal="center" vertical="center"/>
    </xf>
    <xf numFmtId="44" fontId="32" fillId="45" borderId="24" xfId="0" applyNumberFormat="1" applyFont="1" applyFill="1" applyBorder="1" applyAlignment="1">
      <alignment horizontal="left" vertical="center"/>
    </xf>
    <xf numFmtId="44" fontId="6" fillId="45" borderId="24" xfId="1" applyFont="1" applyFill="1" applyBorder="1" applyAlignment="1">
      <alignment horizontal="center" vertical="center" wrapText="1"/>
    </xf>
    <xf numFmtId="0" fontId="32" fillId="45" borderId="24" xfId="0" applyFont="1" applyFill="1" applyBorder="1" applyAlignment="1">
      <alignment horizontal="center" vertical="center"/>
    </xf>
    <xf numFmtId="2" fontId="6" fillId="36" borderId="36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4" fillId="27" borderId="14" xfId="0" applyNumberFormat="1" applyFont="1" applyFill="1" applyBorder="1" applyAlignment="1">
      <alignment horizontal="center" vertical="center" wrapText="1"/>
    </xf>
    <xf numFmtId="0" fontId="41" fillId="46" borderId="21" xfId="0" applyFont="1" applyFill="1" applyBorder="1" applyAlignment="1">
      <alignment horizontal="center" vertical="center"/>
    </xf>
    <xf numFmtId="0" fontId="41" fillId="46" borderId="54" xfId="0" applyFont="1" applyFill="1" applyBorder="1" applyAlignment="1">
      <alignment horizontal="center" vertical="center"/>
    </xf>
    <xf numFmtId="0" fontId="41" fillId="46" borderId="55" xfId="0" applyFont="1" applyFill="1" applyBorder="1" applyAlignment="1">
      <alignment horizontal="center" vertical="center"/>
    </xf>
    <xf numFmtId="0" fontId="41" fillId="46" borderId="56" xfId="0" applyFont="1" applyFill="1" applyBorder="1" applyAlignment="1">
      <alignment horizontal="center" vertical="center"/>
    </xf>
    <xf numFmtId="0" fontId="41" fillId="46" borderId="54" xfId="0" applyFont="1" applyFill="1" applyBorder="1" applyAlignment="1">
      <alignment horizontal="center" vertical="center" wrapText="1"/>
    </xf>
    <xf numFmtId="0" fontId="41" fillId="46" borderId="55" xfId="0" applyFont="1" applyFill="1" applyBorder="1" applyAlignment="1">
      <alignment horizontal="center" vertical="center" wrapText="1"/>
    </xf>
    <xf numFmtId="0" fontId="41" fillId="46" borderId="56" xfId="0" applyFont="1" applyFill="1" applyBorder="1" applyAlignment="1">
      <alignment horizontal="center" vertical="center" wrapText="1"/>
    </xf>
    <xf numFmtId="0" fontId="41" fillId="46" borderId="19" xfId="0" applyFont="1" applyFill="1" applyBorder="1" applyAlignment="1">
      <alignment horizontal="center" vertical="center"/>
    </xf>
    <xf numFmtId="0" fontId="41" fillId="46" borderId="18" xfId="0" applyFont="1" applyFill="1" applyBorder="1" applyAlignment="1">
      <alignment horizontal="center" vertical="center"/>
    </xf>
    <xf numFmtId="0" fontId="41" fillId="46" borderId="25" xfId="0" applyFont="1" applyFill="1" applyBorder="1" applyAlignment="1">
      <alignment horizontal="center" vertical="center" wrapText="1"/>
    </xf>
    <xf numFmtId="0" fontId="41" fillId="46" borderId="18" xfId="0" applyFont="1" applyFill="1" applyBorder="1" applyAlignment="1">
      <alignment horizontal="center" vertical="center" wrapText="1"/>
    </xf>
    <xf numFmtId="0" fontId="41" fillId="46" borderId="53" xfId="0" applyFont="1" applyFill="1" applyBorder="1" applyAlignment="1">
      <alignment horizontal="center" vertical="center" wrapText="1"/>
    </xf>
    <xf numFmtId="164" fontId="4" fillId="27" borderId="17" xfId="0" applyNumberFormat="1" applyFont="1" applyFill="1" applyBorder="1" applyAlignment="1">
      <alignment horizontal="center" vertical="center" wrapText="1"/>
    </xf>
    <xf numFmtId="44" fontId="6" fillId="40" borderId="14" xfId="1" applyNumberFormat="1" applyFont="1" applyFill="1" applyBorder="1" applyAlignment="1">
      <alignment horizontal="center" vertical="center" wrapText="1"/>
    </xf>
    <xf numFmtId="44" fontId="6" fillId="40" borderId="17" xfId="1" applyNumberFormat="1" applyFont="1" applyFill="1" applyBorder="1" applyAlignment="1">
      <alignment horizontal="center" vertical="center" wrapText="1"/>
    </xf>
    <xf numFmtId="44" fontId="6" fillId="41" borderId="17" xfId="1" applyNumberFormat="1" applyFont="1" applyFill="1" applyBorder="1" applyAlignment="1">
      <alignment horizontal="center" vertical="center"/>
    </xf>
    <xf numFmtId="44" fontId="6" fillId="41" borderId="14" xfId="1" applyNumberFormat="1" applyFont="1" applyFill="1" applyBorder="1" applyAlignment="1">
      <alignment horizontal="center" vertical="center"/>
    </xf>
    <xf numFmtId="44" fontId="6" fillId="42" borderId="17" xfId="1" applyNumberFormat="1" applyFont="1" applyFill="1" applyBorder="1" applyAlignment="1">
      <alignment horizontal="center" vertical="center"/>
    </xf>
    <xf numFmtId="44" fontId="6" fillId="42" borderId="14" xfId="1" applyNumberFormat="1" applyFont="1" applyFill="1" applyBorder="1" applyAlignment="1">
      <alignment horizontal="center" vertical="center"/>
    </xf>
    <xf numFmtId="44" fontId="6" fillId="43" borderId="17" xfId="1" applyNumberFormat="1" applyFont="1" applyFill="1" applyBorder="1" applyAlignment="1">
      <alignment horizontal="center" vertical="center"/>
    </xf>
    <xf numFmtId="44" fontId="6" fillId="43" borderId="14" xfId="1" applyNumberFormat="1" applyFont="1" applyFill="1" applyBorder="1" applyAlignment="1">
      <alignment horizontal="center" vertical="center"/>
    </xf>
    <xf numFmtId="44" fontId="6" fillId="43" borderId="17" xfId="1" applyNumberFormat="1" applyFont="1" applyFill="1" applyBorder="1" applyAlignment="1">
      <alignment horizontal="center" vertical="center" wrapText="1"/>
    </xf>
    <xf numFmtId="44" fontId="6" fillId="43" borderId="14" xfId="1" applyNumberFormat="1" applyFont="1" applyFill="1" applyBorder="1" applyAlignment="1">
      <alignment horizontal="center" vertical="center" wrapText="1"/>
    </xf>
    <xf numFmtId="44" fontId="6" fillId="0" borderId="53" xfId="1" applyNumberFormat="1" applyFont="1" applyFill="1" applyBorder="1" applyAlignment="1">
      <alignment horizontal="center" vertical="center"/>
    </xf>
    <xf numFmtId="0" fontId="33" fillId="47" borderId="14" xfId="2" applyFont="1" applyFill="1" applyBorder="1" applyAlignment="1">
      <alignment horizontal="center" vertical="center" wrapText="1"/>
    </xf>
    <xf numFmtId="2" fontId="6" fillId="47" borderId="14" xfId="1" applyNumberFormat="1" applyFont="1" applyFill="1" applyBorder="1" applyAlignment="1">
      <alignment horizontal="center" vertical="center" wrapText="1"/>
    </xf>
    <xf numFmtId="44" fontId="6" fillId="47" borderId="17" xfId="1" applyFont="1" applyFill="1" applyBorder="1" applyAlignment="1">
      <alignment horizontal="center" vertical="center"/>
    </xf>
    <xf numFmtId="44" fontId="32" fillId="47" borderId="14" xfId="0" applyNumberFormat="1" applyFont="1" applyFill="1" applyBorder="1" applyAlignment="1">
      <alignment horizontal="left" vertical="center"/>
    </xf>
    <xf numFmtId="44" fontId="6" fillId="47" borderId="14" xfId="1" applyFont="1" applyFill="1" applyBorder="1" applyAlignment="1">
      <alignment horizontal="center" vertical="center" wrapText="1"/>
    </xf>
    <xf numFmtId="44" fontId="6" fillId="47" borderId="22" xfId="1" applyFont="1" applyFill="1" applyBorder="1" applyAlignment="1">
      <alignment horizontal="center" vertical="center"/>
    </xf>
    <xf numFmtId="44" fontId="32" fillId="47" borderId="24" xfId="0" applyNumberFormat="1" applyFont="1" applyFill="1" applyBorder="1" applyAlignment="1">
      <alignment horizontal="left" vertical="center"/>
    </xf>
    <xf numFmtId="44" fontId="6" fillId="47" borderId="24" xfId="1" applyFont="1" applyFill="1" applyBorder="1" applyAlignment="1">
      <alignment horizontal="center" vertical="center" wrapText="1"/>
    </xf>
    <xf numFmtId="44" fontId="6" fillId="48" borderId="14" xfId="1" applyFont="1" applyFill="1" applyBorder="1" applyAlignment="1">
      <alignment horizontal="left" vertical="center" wrapText="1"/>
    </xf>
    <xf numFmtId="44" fontId="6" fillId="49" borderId="14" xfId="1" applyFont="1" applyFill="1" applyBorder="1" applyAlignment="1">
      <alignment horizontal="left" vertical="center" wrapText="1"/>
    </xf>
    <xf numFmtId="0" fontId="33" fillId="48" borderId="14" xfId="2" applyFont="1" applyFill="1" applyBorder="1" applyAlignment="1">
      <alignment horizontal="center" vertical="center" wrapText="1"/>
    </xf>
    <xf numFmtId="2" fontId="6" fillId="48" borderId="14" xfId="1" applyNumberFormat="1" applyFont="1" applyFill="1" applyBorder="1" applyAlignment="1">
      <alignment horizontal="center" vertical="center" wrapText="1"/>
    </xf>
    <xf numFmtId="2" fontId="6" fillId="34" borderId="53" xfId="1" applyNumberFormat="1" applyFont="1" applyFill="1" applyBorder="1" applyAlignment="1">
      <alignment horizontal="center" vertical="center"/>
    </xf>
    <xf numFmtId="0" fontId="42" fillId="46" borderId="18" xfId="0" applyFont="1" applyFill="1" applyBorder="1" applyAlignment="1">
      <alignment horizontal="center" vertical="center" wrapText="1"/>
    </xf>
    <xf numFmtId="44" fontId="6" fillId="44" borderId="14" xfId="1" applyFont="1" applyFill="1" applyBorder="1" applyAlignment="1">
      <alignment horizontal="center" vertical="center"/>
    </xf>
    <xf numFmtId="0" fontId="33" fillId="46" borderId="18" xfId="2" applyFont="1" applyFill="1" applyBorder="1" applyAlignment="1">
      <alignment horizontal="center" vertical="center" wrapText="1"/>
    </xf>
    <xf numFmtId="0" fontId="33" fillId="38" borderId="33" xfId="0" applyFont="1" applyFill="1" applyBorder="1" applyAlignment="1">
      <alignment vertical="center"/>
    </xf>
    <xf numFmtId="0" fontId="33" fillId="38" borderId="48" xfId="0" applyFont="1" applyFill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60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32" fillId="0" borderId="17" xfId="0" applyFont="1" applyBorder="1" applyAlignment="1">
      <alignment horizontal="left" vertical="center"/>
    </xf>
    <xf numFmtId="0" fontId="32" fillId="0" borderId="35" xfId="0" applyFont="1" applyBorder="1" applyAlignment="1">
      <alignment horizontal="left" vertical="center"/>
    </xf>
    <xf numFmtId="164" fontId="6" fillId="0" borderId="17" xfId="0" applyNumberFormat="1" applyFont="1" applyBorder="1" applyAlignment="1">
      <alignment horizontal="left" vertical="center"/>
    </xf>
    <xf numFmtId="164" fontId="6" fillId="0" borderId="35" xfId="0" applyNumberFormat="1" applyFont="1" applyBorder="1" applyAlignment="1">
      <alignment horizontal="left" vertical="center"/>
    </xf>
    <xf numFmtId="164" fontId="6" fillId="0" borderId="32" xfId="0" applyNumberFormat="1" applyFont="1" applyBorder="1" applyAlignment="1">
      <alignment horizontal="left" vertical="center"/>
    </xf>
    <xf numFmtId="164" fontId="6" fillId="0" borderId="34" xfId="0" applyNumberFormat="1" applyFont="1" applyBorder="1" applyAlignment="1">
      <alignment horizontal="left" vertical="center"/>
    </xf>
    <xf numFmtId="164" fontId="6" fillId="0" borderId="60" xfId="0" applyNumberFormat="1" applyFont="1" applyBorder="1" applyAlignment="1">
      <alignment horizontal="left" vertical="center"/>
    </xf>
    <xf numFmtId="164" fontId="6" fillId="0" borderId="61" xfId="0" applyNumberFormat="1" applyFont="1" applyBorder="1" applyAlignment="1">
      <alignment horizontal="left" vertical="center"/>
    </xf>
    <xf numFmtId="164" fontId="32" fillId="0" borderId="17" xfId="0" applyNumberFormat="1" applyFont="1" applyBorder="1" applyAlignment="1">
      <alignment horizontal="left" vertical="center"/>
    </xf>
    <xf numFmtId="164" fontId="32" fillId="0" borderId="35" xfId="0" applyNumberFormat="1" applyFont="1" applyBorder="1" applyAlignment="1">
      <alignment horizontal="left" vertical="center"/>
    </xf>
    <xf numFmtId="0" fontId="32" fillId="0" borderId="17" xfId="0" applyFont="1" applyBorder="1" applyAlignment="1">
      <alignment horizontal="left" vertical="center" wrapText="1"/>
    </xf>
    <xf numFmtId="0" fontId="32" fillId="0" borderId="35" xfId="0" applyFont="1" applyBorder="1" applyAlignment="1">
      <alignment horizontal="left" vertical="center" wrapText="1"/>
    </xf>
    <xf numFmtId="0" fontId="39" fillId="46" borderId="24" xfId="2" applyFont="1" applyFill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left" vertical="center"/>
    </xf>
    <xf numFmtId="0" fontId="44" fillId="46" borderId="24" xfId="0" applyFont="1" applyFill="1" applyBorder="1" applyAlignment="1">
      <alignment horizontal="center" vertical="center" wrapText="1"/>
    </xf>
    <xf numFmtId="0" fontId="44" fillId="46" borderId="22" xfId="0" applyFont="1" applyFill="1" applyBorder="1" applyAlignment="1">
      <alignment horizontal="center" vertical="center" wrapText="1"/>
    </xf>
    <xf numFmtId="0" fontId="44" fillId="46" borderId="22" xfId="0" applyFont="1" applyFill="1" applyBorder="1" applyAlignment="1">
      <alignment horizontal="center" vertical="center"/>
    </xf>
    <xf numFmtId="0" fontId="44" fillId="46" borderId="57" xfId="0" applyFont="1" applyFill="1" applyBorder="1" applyAlignment="1">
      <alignment horizontal="center" vertical="center"/>
    </xf>
    <xf numFmtId="0" fontId="44" fillId="46" borderId="3" xfId="0" applyFont="1" applyFill="1" applyBorder="1" applyAlignment="1">
      <alignment horizontal="center" vertical="center"/>
    </xf>
    <xf numFmtId="0" fontId="44" fillId="46" borderId="58" xfId="0" applyFont="1" applyFill="1" applyBorder="1" applyAlignment="1">
      <alignment horizontal="center" vertical="center"/>
    </xf>
    <xf numFmtId="0" fontId="44" fillId="46" borderId="57" xfId="0" applyFont="1" applyFill="1" applyBorder="1" applyAlignment="1">
      <alignment horizontal="center" vertical="center" wrapText="1"/>
    </xf>
    <xf numFmtId="0" fontId="44" fillId="46" borderId="3" xfId="0" applyFont="1" applyFill="1" applyBorder="1" applyAlignment="1">
      <alignment horizontal="center" vertical="center" wrapText="1"/>
    </xf>
    <xf numFmtId="0" fontId="44" fillId="46" borderId="58" xfId="0" applyFont="1" applyFill="1" applyBorder="1" applyAlignment="1">
      <alignment horizontal="center" vertical="center" wrapText="1"/>
    </xf>
    <xf numFmtId="0" fontId="44" fillId="46" borderId="0" xfId="0" applyFont="1" applyFill="1" applyBorder="1" applyAlignment="1">
      <alignment horizontal="center" vertical="center"/>
    </xf>
    <xf numFmtId="0" fontId="44" fillId="46" borderId="24" xfId="0" applyFont="1" applyFill="1" applyBorder="1" applyAlignment="1">
      <alignment horizontal="center" vertical="center"/>
    </xf>
    <xf numFmtId="44" fontId="6" fillId="40" borderId="14" xfId="1" applyFont="1" applyFill="1" applyBorder="1" applyAlignment="1">
      <alignment horizontal="center" vertical="center" wrapText="1"/>
    </xf>
    <xf numFmtId="44" fontId="6" fillId="41" borderId="17" xfId="1" applyFont="1" applyFill="1" applyBorder="1" applyAlignment="1">
      <alignment horizontal="center" vertical="center"/>
    </xf>
    <xf numFmtId="44" fontId="6" fillId="42" borderId="17" xfId="1" applyFont="1" applyFill="1" applyBorder="1" applyAlignment="1">
      <alignment horizontal="center" vertical="center"/>
    </xf>
    <xf numFmtId="44" fontId="6" fillId="43" borderId="32" xfId="1" applyFont="1" applyFill="1" applyBorder="1" applyAlignment="1">
      <alignment horizontal="center" vertical="center" wrapText="1"/>
    </xf>
    <xf numFmtId="44" fontId="6" fillId="43" borderId="13" xfId="1" applyFont="1" applyFill="1" applyBorder="1" applyAlignment="1">
      <alignment horizontal="center" vertical="center" wrapText="1"/>
    </xf>
    <xf numFmtId="44" fontId="6" fillId="0" borderId="52" xfId="1" applyNumberFormat="1" applyFont="1" applyFill="1" applyBorder="1" applyAlignment="1">
      <alignment horizontal="center" vertical="center"/>
    </xf>
    <xf numFmtId="0" fontId="33" fillId="39" borderId="41" xfId="2" applyFont="1" applyFill="1" applyBorder="1" applyAlignment="1">
      <alignment horizontal="center" vertical="center" wrapText="1"/>
    </xf>
    <xf numFmtId="2" fontId="6" fillId="39" borderId="43" xfId="1" applyNumberFormat="1" applyFont="1" applyFill="1" applyBorder="1" applyAlignment="1">
      <alignment horizontal="center" vertical="center"/>
    </xf>
    <xf numFmtId="44" fontId="6" fillId="0" borderId="52" xfId="1" applyFont="1" applyFill="1" applyBorder="1" applyAlignment="1">
      <alignment horizontal="left" vertical="center"/>
    </xf>
    <xf numFmtId="0" fontId="33" fillId="40" borderId="23" xfId="2" applyFont="1" applyFill="1" applyBorder="1" applyAlignment="1">
      <alignment horizontal="center" vertical="center" wrapText="1"/>
    </xf>
    <xf numFmtId="2" fontId="6" fillId="40" borderId="23" xfId="1" applyNumberFormat="1" applyFont="1" applyFill="1" applyBorder="1" applyAlignment="1">
      <alignment horizontal="center" vertical="center" wrapText="1"/>
    </xf>
    <xf numFmtId="44" fontId="6" fillId="40" borderId="23" xfId="1" applyNumberFormat="1" applyFont="1" applyFill="1" applyBorder="1" applyAlignment="1">
      <alignment horizontal="center" vertical="center" wrapText="1"/>
    </xf>
    <xf numFmtId="44" fontId="6" fillId="40" borderId="23" xfId="1" applyFont="1" applyFill="1" applyBorder="1" applyAlignment="1">
      <alignment horizontal="left" vertical="center" wrapText="1"/>
    </xf>
    <xf numFmtId="0" fontId="33" fillId="40" borderId="31" xfId="2" applyFont="1" applyFill="1" applyBorder="1" applyAlignment="1">
      <alignment horizontal="center" vertical="center" wrapText="1"/>
    </xf>
    <xf numFmtId="2" fontId="6" fillId="40" borderId="31" xfId="1" applyNumberFormat="1" applyFont="1" applyFill="1" applyBorder="1" applyAlignment="1">
      <alignment horizontal="center" vertical="center" wrapText="1"/>
    </xf>
    <xf numFmtId="44" fontId="6" fillId="40" borderId="31" xfId="1" applyFont="1" applyFill="1" applyBorder="1" applyAlignment="1">
      <alignment horizontal="left" vertical="center" wrapText="1"/>
    </xf>
    <xf numFmtId="44" fontId="6" fillId="47" borderId="14" xfId="1" applyFont="1" applyFill="1" applyBorder="1" applyAlignment="1">
      <alignment horizontal="center" vertical="center"/>
    </xf>
    <xf numFmtId="44" fontId="6" fillId="47" borderId="24" xfId="1" applyFont="1" applyFill="1" applyBorder="1" applyAlignment="1">
      <alignment horizontal="center" vertical="center"/>
    </xf>
    <xf numFmtId="2" fontId="6" fillId="39" borderId="63" xfId="1" applyNumberFormat="1" applyFont="1" applyFill="1" applyBorder="1" applyAlignment="1">
      <alignment horizontal="center" vertical="center"/>
    </xf>
    <xf numFmtId="44" fontId="33" fillId="39" borderId="41" xfId="1" applyFont="1" applyFill="1" applyBorder="1" applyAlignment="1">
      <alignment horizontal="left" vertical="center"/>
    </xf>
    <xf numFmtId="44" fontId="33" fillId="39" borderId="63" xfId="1" applyNumberFormat="1" applyFont="1" applyFill="1" applyBorder="1" applyAlignment="1">
      <alignment horizontal="center" vertical="center"/>
    </xf>
    <xf numFmtId="44" fontId="33" fillId="39" borderId="64" xfId="1" applyNumberFormat="1" applyFont="1" applyFill="1" applyBorder="1" applyAlignment="1">
      <alignment horizontal="center" vertical="center"/>
    </xf>
    <xf numFmtId="44" fontId="33" fillId="39" borderId="41" xfId="1" applyFont="1" applyFill="1" applyBorder="1" applyAlignment="1">
      <alignment horizontal="center" vertical="center"/>
    </xf>
    <xf numFmtId="44" fontId="33" fillId="39" borderId="64" xfId="1" applyFont="1" applyFill="1" applyBorder="1" applyAlignment="1">
      <alignment horizontal="center" vertical="center"/>
    </xf>
    <xf numFmtId="44" fontId="33" fillId="39" borderId="64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167" fontId="32" fillId="0" borderId="0" xfId="0" applyNumberFormat="1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6" fillId="0" borderId="0" xfId="2" applyFont="1" applyBorder="1" applyAlignment="1">
      <alignment horizontal="left" vertical="center"/>
    </xf>
    <xf numFmtId="0" fontId="32" fillId="0" borderId="0" xfId="0" applyFont="1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44" fontId="32" fillId="39" borderId="24" xfId="0" applyNumberFormat="1" applyFont="1" applyFill="1" applyBorder="1" applyAlignment="1">
      <alignment horizontal="left" vertical="center"/>
    </xf>
    <xf numFmtId="44" fontId="6" fillId="34" borderId="45" xfId="1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44" fontId="37" fillId="0" borderId="0" xfId="1" applyFont="1" applyFill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44" fontId="32" fillId="0" borderId="0" xfId="0" applyNumberFormat="1" applyFont="1" applyBorder="1" applyAlignment="1">
      <alignment vertical="center"/>
    </xf>
    <xf numFmtId="0" fontId="31" fillId="0" borderId="24" xfId="0" applyFont="1" applyBorder="1" applyAlignment="1">
      <alignment horizontal="left" vertical="center" wrapText="1"/>
    </xf>
    <xf numFmtId="0" fontId="33" fillId="39" borderId="52" xfId="2" applyFont="1" applyFill="1" applyBorder="1" applyAlignment="1">
      <alignment horizontal="center" vertical="center" wrapText="1"/>
    </xf>
    <xf numFmtId="2" fontId="6" fillId="39" borderId="53" xfId="1" applyNumberFormat="1" applyFont="1" applyFill="1" applyBorder="1" applyAlignment="1">
      <alignment horizontal="center" vertical="center"/>
    </xf>
    <xf numFmtId="44" fontId="33" fillId="39" borderId="53" xfId="1" applyNumberFormat="1" applyFont="1" applyFill="1" applyBorder="1" applyAlignment="1">
      <alignment horizontal="center" vertical="center"/>
    </xf>
    <xf numFmtId="44" fontId="33" fillId="39" borderId="52" xfId="1" applyNumberFormat="1" applyFont="1" applyFill="1" applyBorder="1" applyAlignment="1">
      <alignment horizontal="center" vertical="center"/>
    </xf>
    <xf numFmtId="44" fontId="33" fillId="39" borderId="53" xfId="1" applyFont="1" applyFill="1" applyBorder="1" applyAlignment="1">
      <alignment horizontal="center" vertical="center"/>
    </xf>
    <xf numFmtId="44" fontId="33" fillId="39" borderId="52" xfId="1" applyFont="1" applyFill="1" applyBorder="1" applyAlignment="1">
      <alignment horizontal="center" vertical="center"/>
    </xf>
    <xf numFmtId="44" fontId="33" fillId="39" borderId="52" xfId="1" applyFont="1" applyFill="1" applyBorder="1" applyAlignment="1">
      <alignment horizontal="left" vertical="center"/>
    </xf>
    <xf numFmtId="44" fontId="33" fillId="39" borderId="53" xfId="1" applyFont="1" applyFill="1" applyBorder="1" applyAlignment="1">
      <alignment horizontal="left" vertical="center"/>
    </xf>
    <xf numFmtId="44" fontId="31" fillId="39" borderId="53" xfId="0" applyNumberFormat="1" applyFont="1" applyFill="1" applyBorder="1" applyAlignment="1">
      <alignment horizontal="left" vertical="center"/>
    </xf>
    <xf numFmtId="44" fontId="31" fillId="39" borderId="53" xfId="0" applyNumberFormat="1" applyFont="1" applyFill="1" applyBorder="1" applyAlignment="1">
      <alignment vertical="center"/>
    </xf>
    <xf numFmtId="44" fontId="33" fillId="39" borderId="53" xfId="1" applyFont="1" applyFill="1" applyBorder="1" applyAlignment="1">
      <alignment horizontal="center" vertical="center" wrapText="1"/>
    </xf>
    <xf numFmtId="44" fontId="31" fillId="39" borderId="53" xfId="0" applyNumberFormat="1" applyFont="1" applyFill="1" applyBorder="1" applyAlignment="1">
      <alignment horizontal="center" vertical="center"/>
    </xf>
    <xf numFmtId="44" fontId="31" fillId="39" borderId="53" xfId="1" applyFont="1" applyFill="1" applyBorder="1" applyAlignment="1">
      <alignment horizontal="center" vertical="center" wrapText="1"/>
    </xf>
    <xf numFmtId="44" fontId="31" fillId="39" borderId="53" xfId="1" applyFont="1" applyFill="1" applyBorder="1" applyAlignment="1">
      <alignment horizontal="center" vertical="center"/>
    </xf>
    <xf numFmtId="44" fontId="31" fillId="39" borderId="52" xfId="0" applyNumberFormat="1" applyFont="1" applyFill="1" applyBorder="1" applyAlignment="1">
      <alignment horizontal="center" vertical="center"/>
    </xf>
    <xf numFmtId="164" fontId="46" fillId="39" borderId="41" xfId="0" applyNumberFormat="1" applyFont="1" applyFill="1" applyBorder="1" applyAlignment="1">
      <alignment horizontal="center" vertical="center"/>
    </xf>
    <xf numFmtId="0" fontId="39" fillId="46" borderId="21" xfId="2" applyFont="1" applyFill="1" applyBorder="1" applyAlignment="1">
      <alignment horizontal="center" vertical="center" wrapText="1"/>
    </xf>
    <xf numFmtId="0" fontId="31" fillId="46" borderId="18" xfId="0" applyFont="1" applyFill="1" applyBorder="1" applyAlignment="1">
      <alignment horizontal="center" vertical="center" wrapText="1"/>
    </xf>
    <xf numFmtId="17" fontId="40" fillId="46" borderId="22" xfId="2" applyNumberFormat="1" applyFont="1" applyFill="1" applyBorder="1" applyAlignment="1">
      <alignment horizontal="center" vertical="center"/>
    </xf>
    <xf numFmtId="0" fontId="39" fillId="46" borderId="18" xfId="2" applyFont="1" applyFill="1" applyBorder="1" applyAlignment="1">
      <alignment horizontal="center" vertical="center" wrapText="1"/>
    </xf>
    <xf numFmtId="0" fontId="39" fillId="46" borderId="52" xfId="2" applyFont="1" applyFill="1" applyBorder="1" applyAlignment="1">
      <alignment horizontal="center" vertical="center" wrapText="1"/>
    </xf>
    <xf numFmtId="17" fontId="40" fillId="46" borderId="53" xfId="2" applyNumberFormat="1" applyFont="1" applyFill="1" applyBorder="1" applyAlignment="1">
      <alignment horizontal="center" vertical="center"/>
    </xf>
    <xf numFmtId="17" fontId="40" fillId="46" borderId="52" xfId="2" applyNumberFormat="1" applyFont="1" applyFill="1" applyBorder="1" applyAlignment="1">
      <alignment horizontal="center" vertical="center"/>
    </xf>
    <xf numFmtId="0" fontId="31" fillId="46" borderId="21" xfId="0" applyFont="1" applyFill="1" applyBorder="1" applyAlignment="1">
      <alignment horizontal="center" vertical="center" wrapText="1"/>
    </xf>
    <xf numFmtId="0" fontId="33" fillId="46" borderId="52" xfId="2" applyFont="1" applyFill="1" applyBorder="1" applyAlignment="1">
      <alignment horizontal="center" vertical="center" wrapText="1"/>
    </xf>
    <xf numFmtId="0" fontId="31" fillId="46" borderId="18" xfId="0" applyFont="1" applyFill="1" applyBorder="1" applyAlignment="1">
      <alignment horizontal="center" vertical="center"/>
    </xf>
    <xf numFmtId="0" fontId="31" fillId="46" borderId="21" xfId="0" applyFont="1" applyFill="1" applyBorder="1" applyAlignment="1">
      <alignment horizontal="center" vertical="center"/>
    </xf>
    <xf numFmtId="0" fontId="31" fillId="46" borderId="31" xfId="0" applyFont="1" applyFill="1" applyBorder="1" applyAlignment="1">
      <alignment horizontal="center" vertical="center" wrapText="1"/>
    </xf>
    <xf numFmtId="0" fontId="33" fillId="46" borderId="21" xfId="2" applyFont="1" applyFill="1" applyBorder="1" applyAlignment="1">
      <alignment horizontal="center" vertical="center" wrapText="1"/>
    </xf>
    <xf numFmtId="0" fontId="33" fillId="44" borderId="14" xfId="2" applyFont="1" applyFill="1" applyBorder="1" applyAlignment="1">
      <alignment horizontal="center" vertical="center" wrapText="1"/>
    </xf>
    <xf numFmtId="44" fontId="6" fillId="40" borderId="23" xfId="1" applyFont="1" applyFill="1" applyBorder="1" applyAlignment="1">
      <alignment horizontal="center" vertical="center" wrapText="1"/>
    </xf>
    <xf numFmtId="0" fontId="41" fillId="46" borderId="52" xfId="0" applyFont="1" applyFill="1" applyBorder="1" applyAlignment="1">
      <alignment horizontal="center" vertical="center" wrapText="1"/>
    </xf>
    <xf numFmtId="44" fontId="47" fillId="46" borderId="14" xfId="1" applyFont="1" applyFill="1" applyBorder="1" applyAlignment="1">
      <alignment horizontal="center" vertical="center" wrapText="1"/>
    </xf>
    <xf numFmtId="166" fontId="46" fillId="39" borderId="41" xfId="0" applyNumberFormat="1" applyFont="1" applyFill="1" applyBorder="1" applyAlignment="1">
      <alignment horizontal="center" vertical="center"/>
    </xf>
    <xf numFmtId="164" fontId="46" fillId="39" borderId="53" xfId="0" applyNumberFormat="1" applyFont="1" applyFill="1" applyBorder="1" applyAlignment="1">
      <alignment horizontal="center" vertical="center" wrapText="1"/>
    </xf>
    <xf numFmtId="166" fontId="46" fillId="39" borderId="52" xfId="0" applyNumberFormat="1" applyFont="1" applyFill="1" applyBorder="1" applyAlignment="1">
      <alignment horizontal="center" vertical="center"/>
    </xf>
    <xf numFmtId="164" fontId="42" fillId="39" borderId="53" xfId="0" applyNumberFormat="1" applyFont="1" applyFill="1" applyBorder="1" applyAlignment="1">
      <alignment horizontal="center" vertical="center" wrapText="1"/>
    </xf>
    <xf numFmtId="164" fontId="46" fillId="39" borderId="53" xfId="0" applyNumberFormat="1" applyFont="1" applyFill="1" applyBorder="1" applyAlignment="1">
      <alignment horizontal="center" vertical="center"/>
    </xf>
    <xf numFmtId="164" fontId="46" fillId="39" borderId="52" xfId="0" applyNumberFormat="1" applyFont="1" applyFill="1" applyBorder="1" applyAlignment="1">
      <alignment horizontal="center" vertical="center"/>
    </xf>
    <xf numFmtId="0" fontId="33" fillId="39" borderId="65" xfId="2" applyFont="1" applyFill="1" applyBorder="1" applyAlignment="1">
      <alignment horizontal="center" vertical="center" wrapText="1"/>
    </xf>
    <xf numFmtId="2" fontId="6" fillId="39" borderId="66" xfId="1" applyNumberFormat="1" applyFont="1" applyFill="1" applyBorder="1" applyAlignment="1">
      <alignment horizontal="center" vertical="center"/>
    </xf>
    <xf numFmtId="44" fontId="33" fillId="39" borderId="65" xfId="1" applyFont="1" applyFill="1" applyBorder="1" applyAlignment="1">
      <alignment horizontal="left" vertical="center"/>
    </xf>
    <xf numFmtId="44" fontId="33" fillId="39" borderId="66" xfId="1" applyFont="1" applyFill="1" applyBorder="1" applyAlignment="1">
      <alignment horizontal="left" vertical="center"/>
    </xf>
    <xf numFmtId="44" fontId="33" fillId="39" borderId="65" xfId="1" applyFont="1" applyFill="1" applyBorder="1" applyAlignment="1">
      <alignment horizontal="center" vertical="center"/>
    </xf>
    <xf numFmtId="2" fontId="42" fillId="39" borderId="41" xfId="0" applyNumberFormat="1" applyFont="1" applyFill="1" applyBorder="1" applyAlignment="1">
      <alignment horizontal="center" vertical="center" wrapText="1"/>
    </xf>
    <xf numFmtId="44" fontId="33" fillId="39" borderId="62" xfId="1" applyFont="1" applyFill="1" applyBorder="1" applyAlignment="1">
      <alignment horizontal="center" vertical="center"/>
    </xf>
    <xf numFmtId="44" fontId="33" fillId="39" borderId="45" xfId="1" applyFont="1" applyFill="1" applyBorder="1" applyAlignment="1">
      <alignment horizontal="center" vertical="center"/>
    </xf>
    <xf numFmtId="44" fontId="33" fillId="39" borderId="41" xfId="1" applyNumberFormat="1" applyFont="1" applyFill="1" applyBorder="1" applyAlignment="1">
      <alignment horizontal="center" vertical="center"/>
    </xf>
    <xf numFmtId="0" fontId="33" fillId="35" borderId="37" xfId="0" applyFont="1" applyFill="1" applyBorder="1" applyAlignment="1">
      <alignment horizontal="center" vertical="center" wrapText="1"/>
    </xf>
    <xf numFmtId="44" fontId="32" fillId="0" borderId="0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44" fontId="32" fillId="0" borderId="0" xfId="1" applyFont="1" applyFill="1" applyAlignment="1">
      <alignment vertical="center"/>
    </xf>
    <xf numFmtId="44" fontId="32" fillId="0" borderId="0" xfId="0" applyNumberFormat="1" applyFont="1" applyFill="1" applyAlignment="1">
      <alignment vertical="center"/>
    </xf>
    <xf numFmtId="44" fontId="32" fillId="0" borderId="0" xfId="1" applyFont="1" applyFill="1" applyBorder="1" applyAlignment="1">
      <alignment vertical="center"/>
    </xf>
    <xf numFmtId="44" fontId="48" fillId="46" borderId="14" xfId="1" applyFont="1" applyFill="1" applyBorder="1" applyAlignment="1">
      <alignment horizontal="center" vertical="center" wrapText="1"/>
    </xf>
    <xf numFmtId="0" fontId="49" fillId="46" borderId="37" xfId="0" applyFont="1" applyFill="1" applyBorder="1" applyAlignment="1">
      <alignment horizontal="center" vertical="center" wrapText="1"/>
    </xf>
    <xf numFmtId="164" fontId="44" fillId="46" borderId="54" xfId="0" applyNumberFormat="1" applyFont="1" applyFill="1" applyBorder="1" applyAlignment="1">
      <alignment horizontal="center" vertical="center" wrapText="1"/>
    </xf>
    <xf numFmtId="164" fontId="44" fillId="46" borderId="19" xfId="0" applyNumberFormat="1" applyFont="1" applyFill="1" applyBorder="1" applyAlignment="1">
      <alignment horizontal="center" vertical="center" wrapText="1"/>
    </xf>
    <xf numFmtId="164" fontId="49" fillId="46" borderId="67" xfId="0" applyNumberFormat="1" applyFont="1" applyFill="1" applyBorder="1" applyAlignment="1">
      <alignment horizontal="center" vertical="center" wrapText="1"/>
    </xf>
    <xf numFmtId="164" fontId="49" fillId="46" borderId="68" xfId="0" applyNumberFormat="1" applyFont="1" applyFill="1" applyBorder="1" applyAlignment="1">
      <alignment horizontal="center" vertical="center" wrapText="1"/>
    </xf>
    <xf numFmtId="164" fontId="49" fillId="46" borderId="57" xfId="0" applyNumberFormat="1" applyFont="1" applyFill="1" applyBorder="1" applyAlignment="1">
      <alignment horizontal="center" vertical="center" wrapText="1"/>
    </xf>
    <xf numFmtId="2" fontId="49" fillId="46" borderId="20" xfId="0" applyNumberFormat="1" applyFont="1" applyFill="1" applyBorder="1" applyAlignment="1">
      <alignment horizontal="center" vertical="center" wrapText="1"/>
    </xf>
    <xf numFmtId="17" fontId="49" fillId="46" borderId="59" xfId="0" applyNumberFormat="1" applyFont="1" applyFill="1" applyBorder="1" applyAlignment="1">
      <alignment horizontal="center" vertical="center" wrapText="1"/>
    </xf>
    <xf numFmtId="17" fontId="49" fillId="46" borderId="69" xfId="0" applyNumberFormat="1" applyFont="1" applyFill="1" applyBorder="1" applyAlignment="1">
      <alignment horizontal="center" vertical="center" wrapText="1"/>
    </xf>
    <xf numFmtId="164" fontId="4" fillId="46" borderId="37" xfId="0" applyNumberFormat="1" applyFont="1" applyFill="1" applyBorder="1" applyAlignment="1">
      <alignment horizontal="center" vertical="center" wrapText="1"/>
    </xf>
    <xf numFmtId="164" fontId="4" fillId="46" borderId="15" xfId="0" applyNumberFormat="1" applyFont="1" applyFill="1" applyBorder="1" applyAlignment="1">
      <alignment horizontal="center" vertical="center" wrapText="1"/>
    </xf>
    <xf numFmtId="0" fontId="4" fillId="46" borderId="21" xfId="0" applyFont="1" applyFill="1" applyBorder="1" applyAlignment="1">
      <alignment horizontal="center" vertical="center" wrapText="1"/>
    </xf>
    <xf numFmtId="0" fontId="44" fillId="46" borderId="53" xfId="0" applyFont="1" applyFill="1" applyBorder="1" applyAlignment="1">
      <alignment horizontal="center" vertical="center" wrapText="1"/>
    </xf>
    <xf numFmtId="166" fontId="42" fillId="21" borderId="74" xfId="0" applyNumberFormat="1" applyFont="1" applyFill="1" applyBorder="1" applyAlignment="1">
      <alignment horizontal="center" vertical="center" wrapText="1"/>
    </xf>
    <xf numFmtId="166" fontId="42" fillId="21" borderId="39" xfId="0" applyNumberFormat="1" applyFont="1" applyFill="1" applyBorder="1" applyAlignment="1">
      <alignment horizontal="center" vertical="center" wrapText="1"/>
    </xf>
    <xf numFmtId="166" fontId="42" fillId="21" borderId="71" xfId="0" applyNumberFormat="1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left" vertical="center" wrapText="1" indent="1"/>
    </xf>
    <xf numFmtId="0" fontId="52" fillId="0" borderId="17" xfId="0" applyFont="1" applyFill="1" applyBorder="1" applyAlignment="1">
      <alignment horizontal="left" vertical="center" wrapText="1" indent="1"/>
    </xf>
    <xf numFmtId="0" fontId="53" fillId="0" borderId="17" xfId="0" applyFont="1" applyFill="1" applyBorder="1" applyAlignment="1">
      <alignment horizontal="left" vertical="center" wrapText="1" indent="1"/>
    </xf>
    <xf numFmtId="0" fontId="54" fillId="0" borderId="17" xfId="0" applyFont="1" applyBorder="1" applyAlignment="1">
      <alignment horizontal="left" vertical="center" wrapText="1" indent="1"/>
    </xf>
    <xf numFmtId="0" fontId="55" fillId="0" borderId="17" xfId="0" applyFont="1" applyBorder="1" applyAlignment="1">
      <alignment horizontal="left" vertical="center" wrapText="1" indent="1"/>
    </xf>
    <xf numFmtId="0" fontId="56" fillId="0" borderId="17" xfId="0" applyFont="1" applyBorder="1" applyAlignment="1">
      <alignment horizontal="left" vertical="center" wrapText="1" indent="1"/>
    </xf>
    <xf numFmtId="0" fontId="50" fillId="0" borderId="75" xfId="0" applyFont="1" applyBorder="1" applyAlignment="1">
      <alignment horizontal="left" vertical="center" wrapText="1" indent="1"/>
    </xf>
    <xf numFmtId="166" fontId="42" fillId="36" borderId="73" xfId="0" applyNumberFormat="1" applyFont="1" applyFill="1" applyBorder="1" applyAlignment="1">
      <alignment horizontal="center" vertical="center" wrapText="1"/>
    </xf>
    <xf numFmtId="166" fontId="42" fillId="36" borderId="72" xfId="0" applyNumberFormat="1" applyFont="1" applyFill="1" applyBorder="1" applyAlignment="1">
      <alignment horizontal="center" vertical="center" wrapText="1"/>
    </xf>
    <xf numFmtId="166" fontId="42" fillId="36" borderId="70" xfId="0" applyNumberFormat="1" applyFont="1" applyFill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4" fontId="33" fillId="0" borderId="64" xfId="0" applyNumberFormat="1" applyFont="1" applyBorder="1" applyAlignment="1">
      <alignment horizontal="center" vertical="center"/>
    </xf>
    <xf numFmtId="0" fontId="32" fillId="0" borderId="75" xfId="0" applyFont="1" applyBorder="1" applyAlignment="1">
      <alignment horizontal="center" vertical="center" wrapText="1"/>
    </xf>
    <xf numFmtId="0" fontId="32" fillId="0" borderId="75" xfId="0" applyFont="1" applyBorder="1" applyAlignment="1">
      <alignment horizontal="left" vertical="center"/>
    </xf>
    <xf numFmtId="0" fontId="32" fillId="0" borderId="51" xfId="0" applyFont="1" applyBorder="1" applyAlignment="1">
      <alignment horizontal="left" vertical="center"/>
    </xf>
    <xf numFmtId="0" fontId="6" fillId="0" borderId="50" xfId="0" applyFont="1" applyFill="1" applyBorder="1" applyAlignment="1">
      <alignment horizontal="center" vertical="center"/>
    </xf>
    <xf numFmtId="44" fontId="6" fillId="0" borderId="50" xfId="1" applyFont="1" applyFill="1" applyBorder="1" applyAlignment="1">
      <alignment horizontal="center" vertical="center"/>
    </xf>
    <xf numFmtId="44" fontId="32" fillId="0" borderId="51" xfId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44" fontId="6" fillId="0" borderId="0" xfId="1" applyNumberFormat="1" applyFont="1" applyFill="1" applyBorder="1" applyAlignment="1">
      <alignment horizontal="center" vertical="center"/>
    </xf>
    <xf numFmtId="17" fontId="31" fillId="0" borderId="0" xfId="0" applyNumberFormat="1" applyFont="1" applyBorder="1" applyAlignment="1">
      <alignment horizontal="left" vertical="center"/>
    </xf>
    <xf numFmtId="0" fontId="57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9" fillId="0" borderId="0" xfId="0" applyFont="1" applyAlignment="1">
      <alignment vertical="center"/>
    </xf>
    <xf numFmtId="44" fontId="60" fillId="0" borderId="0" xfId="1" applyNumberFormat="1" applyFont="1" applyFill="1" applyBorder="1" applyAlignment="1">
      <alignment horizontal="center" vertical="center"/>
    </xf>
    <xf numFmtId="0" fontId="61" fillId="37" borderId="40" xfId="2" applyFont="1" applyFill="1" applyBorder="1" applyAlignment="1">
      <alignment vertical="center"/>
    </xf>
    <xf numFmtId="0" fontId="60" fillId="0" borderId="0" xfId="2" applyFont="1" applyBorder="1" applyAlignment="1">
      <alignment horizontal="left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2" fontId="6" fillId="46" borderId="21" xfId="1" applyNumberFormat="1" applyFont="1" applyFill="1" applyBorder="1" applyAlignment="1">
      <alignment horizontal="center" vertical="center"/>
    </xf>
    <xf numFmtId="44" fontId="6" fillId="46" borderId="21" xfId="1" applyNumberFormat="1" applyFont="1" applyFill="1" applyBorder="1" applyAlignment="1">
      <alignment horizontal="center" vertical="center"/>
    </xf>
    <xf numFmtId="44" fontId="6" fillId="46" borderId="18" xfId="1" applyNumberFormat="1" applyFont="1" applyFill="1" applyBorder="1" applyAlignment="1">
      <alignment horizontal="center" vertical="center"/>
    </xf>
    <xf numFmtId="0" fontId="33" fillId="46" borderId="24" xfId="2" applyFont="1" applyFill="1" applyBorder="1" applyAlignment="1">
      <alignment horizontal="center" vertical="center" wrapText="1"/>
    </xf>
    <xf numFmtId="2" fontId="6" fillId="46" borderId="22" xfId="1" applyNumberFormat="1" applyFont="1" applyFill="1" applyBorder="1" applyAlignment="1">
      <alignment horizontal="center" vertical="center"/>
    </xf>
    <xf numFmtId="44" fontId="6" fillId="46" borderId="22" xfId="1" applyNumberFormat="1" applyFont="1" applyFill="1" applyBorder="1" applyAlignment="1">
      <alignment horizontal="center" vertical="center"/>
    </xf>
    <xf numFmtId="44" fontId="6" fillId="46" borderId="24" xfId="1" applyNumberFormat="1" applyFont="1" applyFill="1" applyBorder="1" applyAlignment="1">
      <alignment horizontal="center" vertical="center"/>
    </xf>
    <xf numFmtId="0" fontId="33" fillId="46" borderId="76" xfId="2" applyFont="1" applyFill="1" applyBorder="1" applyAlignment="1">
      <alignment horizontal="center" vertical="center" wrapText="1"/>
    </xf>
    <xf numFmtId="2" fontId="6" fillId="46" borderId="77" xfId="1" applyNumberFormat="1" applyFont="1" applyFill="1" applyBorder="1" applyAlignment="1">
      <alignment horizontal="center" vertical="center"/>
    </xf>
    <xf numFmtId="44" fontId="6" fillId="46" borderId="77" xfId="1" applyNumberFormat="1" applyFont="1" applyFill="1" applyBorder="1" applyAlignment="1">
      <alignment horizontal="center" vertical="center"/>
    </xf>
    <xf numFmtId="44" fontId="6" fillId="46" borderId="76" xfId="1" applyNumberFormat="1" applyFont="1" applyFill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1" fillId="50" borderId="40" xfId="2" applyFont="1" applyFill="1" applyBorder="1" applyAlignment="1">
      <alignment vertical="center"/>
    </xf>
    <xf numFmtId="0" fontId="60" fillId="50" borderId="78" xfId="2" applyFont="1" applyFill="1" applyBorder="1" applyAlignment="1">
      <alignment horizontal="left" vertical="center"/>
    </xf>
    <xf numFmtId="15" fontId="32" fillId="0" borderId="0" xfId="0" applyNumberFormat="1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2" fillId="0" borderId="45" xfId="0" applyFont="1" applyBorder="1" applyAlignment="1">
      <alignment horizontal="center" vertical="center"/>
    </xf>
    <xf numFmtId="44" fontId="32" fillId="0" borderId="45" xfId="0" applyNumberFormat="1" applyFont="1" applyBorder="1" applyAlignment="1">
      <alignment horizontal="left" vertical="center"/>
    </xf>
    <xf numFmtId="2" fontId="6" fillId="0" borderId="45" xfId="1" applyNumberFormat="1" applyFont="1" applyFill="1" applyBorder="1" applyAlignment="1">
      <alignment horizontal="center" vertical="center"/>
    </xf>
    <xf numFmtId="44" fontId="6" fillId="0" borderId="45" xfId="1" applyNumberFormat="1" applyFont="1" applyFill="1" applyBorder="1" applyAlignment="1">
      <alignment horizontal="center" vertical="center"/>
    </xf>
    <xf numFmtId="44" fontId="32" fillId="0" borderId="45" xfId="0" applyNumberFormat="1" applyFont="1" applyBorder="1" applyAlignment="1">
      <alignment vertical="center"/>
    </xf>
    <xf numFmtId="44" fontId="6" fillId="0" borderId="45" xfId="1" applyFont="1" applyFill="1" applyBorder="1" applyAlignment="1">
      <alignment horizontal="left" vertical="center"/>
    </xf>
    <xf numFmtId="0" fontId="33" fillId="0" borderId="45" xfId="2" applyFont="1" applyFill="1" applyBorder="1" applyAlignment="1">
      <alignment horizontal="center" vertical="center" wrapText="1"/>
    </xf>
    <xf numFmtId="0" fontId="33" fillId="39" borderId="62" xfId="2" applyFont="1" applyFill="1" applyBorder="1" applyAlignment="1">
      <alignment horizontal="center" vertical="center" wrapText="1"/>
    </xf>
    <xf numFmtId="2" fontId="6" fillId="39" borderId="79" xfId="1" applyNumberFormat="1" applyFont="1" applyFill="1" applyBorder="1" applyAlignment="1">
      <alignment horizontal="center" vertical="center"/>
    </xf>
    <xf numFmtId="44" fontId="33" fillId="39" borderId="62" xfId="1" applyFont="1" applyFill="1" applyBorder="1" applyAlignment="1">
      <alignment horizontal="left" vertical="center"/>
    </xf>
    <xf numFmtId="2" fontId="6" fillId="39" borderId="17" xfId="1" applyNumberFormat="1" applyFont="1" applyFill="1" applyBorder="1" applyAlignment="1">
      <alignment horizontal="center" vertical="center"/>
    </xf>
    <xf numFmtId="44" fontId="6" fillId="39" borderId="17" xfId="1" applyNumberFormat="1" applyFont="1" applyFill="1" applyBorder="1" applyAlignment="1">
      <alignment horizontal="center" vertical="center"/>
    </xf>
    <xf numFmtId="44" fontId="6" fillId="39" borderId="14" xfId="1" applyNumberFormat="1" applyFont="1" applyFill="1" applyBorder="1" applyAlignment="1">
      <alignment horizontal="center" vertical="center"/>
    </xf>
    <xf numFmtId="0" fontId="32" fillId="0" borderId="52" xfId="0" applyFont="1" applyBorder="1" applyAlignment="1">
      <alignment horizontal="left" vertical="center" wrapText="1"/>
    </xf>
    <xf numFmtId="0" fontId="32" fillId="0" borderId="69" xfId="0" applyFont="1" applyBorder="1" applyAlignment="1">
      <alignment horizontal="center" vertical="center" wrapText="1"/>
    </xf>
    <xf numFmtId="0" fontId="33" fillId="35" borderId="18" xfId="2" applyFont="1" applyFill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44" fontId="32" fillId="0" borderId="31" xfId="1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44" fontId="32" fillId="0" borderId="13" xfId="1" applyFont="1" applyBorder="1" applyAlignment="1">
      <alignment horizontal="left" vertical="center" wrapText="1"/>
    </xf>
    <xf numFmtId="0" fontId="31" fillId="0" borderId="50" xfId="0" applyFont="1" applyBorder="1" applyAlignment="1">
      <alignment horizontal="center" vertical="center"/>
    </xf>
    <xf numFmtId="44" fontId="32" fillId="0" borderId="50" xfId="1" applyFont="1" applyBorder="1" applyAlignment="1">
      <alignment vertical="center"/>
    </xf>
    <xf numFmtId="0" fontId="33" fillId="35" borderId="37" xfId="0" applyFont="1" applyFill="1" applyBorder="1" applyAlignment="1">
      <alignment horizontal="center" vertical="center" wrapText="1"/>
    </xf>
    <xf numFmtId="0" fontId="33" fillId="35" borderId="15" xfId="0" applyFont="1" applyFill="1" applyBorder="1" applyAlignment="1">
      <alignment horizontal="center" vertical="center" wrapText="1"/>
    </xf>
    <xf numFmtId="0" fontId="33" fillId="46" borderId="37" xfId="2" applyFont="1" applyFill="1" applyBorder="1" applyAlignment="1">
      <alignment horizontal="center" vertical="center" wrapText="1"/>
    </xf>
    <xf numFmtId="0" fontId="33" fillId="46" borderId="15" xfId="2" applyFont="1" applyFill="1" applyBorder="1" applyAlignment="1">
      <alignment horizontal="center" vertical="center" wrapText="1"/>
    </xf>
    <xf numFmtId="0" fontId="31" fillId="46" borderId="37" xfId="0" applyFont="1" applyFill="1" applyBorder="1" applyAlignment="1">
      <alignment horizontal="center" vertical="center"/>
    </xf>
    <xf numFmtId="0" fontId="31" fillId="46" borderId="15" xfId="0" applyFont="1" applyFill="1" applyBorder="1" applyAlignment="1">
      <alignment horizontal="center" vertical="center"/>
    </xf>
    <xf numFmtId="0" fontId="31" fillId="46" borderId="37" xfId="0" applyFont="1" applyFill="1" applyBorder="1" applyAlignment="1">
      <alignment horizontal="center" vertical="center" wrapText="1"/>
    </xf>
    <xf numFmtId="0" fontId="31" fillId="46" borderId="15" xfId="0" applyFont="1" applyFill="1" applyBorder="1" applyAlignment="1">
      <alignment horizontal="center" vertical="center" wrapText="1"/>
    </xf>
  </cellXfs>
  <cellStyles count="195">
    <cellStyle name="20% - Accent1 2" xfId="56"/>
    <cellStyle name="20% - Accent1 3" xfId="110"/>
    <cellStyle name="20% - Accent1 4" xfId="3"/>
    <cellStyle name="20% - Accent2 2" xfId="57"/>
    <cellStyle name="20% - Accent2 3" xfId="111"/>
    <cellStyle name="20% - Accent2 4" xfId="4"/>
    <cellStyle name="20% - Accent3 2" xfId="58"/>
    <cellStyle name="20% - Accent3 3" xfId="112"/>
    <cellStyle name="20% - Accent3 4" xfId="5"/>
    <cellStyle name="20% - Accent4 2" xfId="59"/>
    <cellStyle name="20% - Accent4 3" xfId="113"/>
    <cellStyle name="20% - Accent4 4" xfId="6"/>
    <cellStyle name="20% - Accent5 2" xfId="60"/>
    <cellStyle name="20% - Accent5 3" xfId="114"/>
    <cellStyle name="20% - Accent5 4" xfId="7"/>
    <cellStyle name="20% - Accent6 2" xfId="61"/>
    <cellStyle name="20% - Accent6 3" xfId="8"/>
    <cellStyle name="40% - Accent1 2" xfId="62"/>
    <cellStyle name="40% - Accent1 3" xfId="115"/>
    <cellStyle name="40% - Accent1 4" xfId="9"/>
    <cellStyle name="40% - Accent2 2" xfId="63"/>
    <cellStyle name="40% - Accent2 3" xfId="116"/>
    <cellStyle name="40% - Accent2 4" xfId="10"/>
    <cellStyle name="40% - Accent3 2" xfId="64"/>
    <cellStyle name="40% - Accent3 3" xfId="117"/>
    <cellStyle name="40% - Accent3 4" xfId="11"/>
    <cellStyle name="40% - Accent4 2" xfId="65"/>
    <cellStyle name="40% - Accent4 3" xfId="118"/>
    <cellStyle name="40% - Accent4 4" xfId="12"/>
    <cellStyle name="40% - Accent5 2" xfId="66"/>
    <cellStyle name="40% - Accent5 3" xfId="13"/>
    <cellStyle name="40% - Accent6 2" xfId="67"/>
    <cellStyle name="40% - Accent6 3" xfId="119"/>
    <cellStyle name="40% - Accent6 4" xfId="14"/>
    <cellStyle name="60% - Accent1 2" xfId="68"/>
    <cellStyle name="60% - Accent1 3" xfId="120"/>
    <cellStyle name="60% - Accent1 4" xfId="15"/>
    <cellStyle name="60% - Accent2 2" xfId="69"/>
    <cellStyle name="60% - Accent2 3" xfId="121"/>
    <cellStyle name="60% - Accent2 4" xfId="16"/>
    <cellStyle name="60% - Accent3 2" xfId="70"/>
    <cellStyle name="60% - Accent3 3" xfId="122"/>
    <cellStyle name="60% - Accent3 4" xfId="17"/>
    <cellStyle name="60% - Accent4 2" xfId="71"/>
    <cellStyle name="60% - Accent4 3" xfId="123"/>
    <cellStyle name="60% - Accent4 4" xfId="18"/>
    <cellStyle name="60% - Accent5 2" xfId="72"/>
    <cellStyle name="60% - Accent5 3" xfId="19"/>
    <cellStyle name="60% - Accent6 2" xfId="73"/>
    <cellStyle name="60% - Accent6 3" xfId="124"/>
    <cellStyle name="60% - Accent6 4" xfId="20"/>
    <cellStyle name="Accent1 2" xfId="74"/>
    <cellStyle name="Accent1 3" xfId="125"/>
    <cellStyle name="Accent1 4" xfId="21"/>
    <cellStyle name="Accent2 2" xfId="75"/>
    <cellStyle name="Accent2 3" xfId="126"/>
    <cellStyle name="Accent2 4" xfId="22"/>
    <cellStyle name="Accent3 2" xfId="76"/>
    <cellStyle name="Accent3 3" xfId="127"/>
    <cellStyle name="Accent3 4" xfId="23"/>
    <cellStyle name="Accent4 2" xfId="77"/>
    <cellStyle name="Accent4 3" xfId="128"/>
    <cellStyle name="Accent4 4" xfId="24"/>
    <cellStyle name="Accent5 2" xfId="78"/>
    <cellStyle name="Accent5 3" xfId="25"/>
    <cellStyle name="Accent6 2" xfId="79"/>
    <cellStyle name="Accent6 3" xfId="26"/>
    <cellStyle name="Bad 2" xfId="80"/>
    <cellStyle name="Bad 3" xfId="27"/>
    <cellStyle name="Calculation 2" xfId="81"/>
    <cellStyle name="Calculation 2 2" xfId="175"/>
    <cellStyle name="Calculation 3" xfId="129"/>
    <cellStyle name="Calculation 3 2" xfId="163"/>
    <cellStyle name="Calculation 3 3" xfId="181"/>
    <cellStyle name="Calculation 4" xfId="142"/>
    <cellStyle name="Calculation 4 2" xfId="170"/>
    <cellStyle name="Calculation 4 3" xfId="185"/>
    <cellStyle name="Calculation 5" xfId="148"/>
    <cellStyle name="Calculation 6" xfId="28"/>
    <cellStyle name="cells" xfId="29"/>
    <cellStyle name="cells 2" xfId="82"/>
    <cellStyle name="Check Cell 2" xfId="83"/>
    <cellStyle name="Check Cell 3" xfId="30"/>
    <cellStyle name="column field" xfId="31"/>
    <cellStyle name="column field 2" xfId="84"/>
    <cellStyle name="Comma 2" xfId="85"/>
    <cellStyle name="Comma 3" xfId="130"/>
    <cellStyle name="Comma 3 2" xfId="164"/>
    <cellStyle name="Comma 4" xfId="32"/>
    <cellStyle name="Currency" xfId="1" builtinId="4"/>
    <cellStyle name="Currency 2" xfId="86"/>
    <cellStyle name="Currency 3" xfId="33"/>
    <cellStyle name="Currency 4" xfId="193"/>
    <cellStyle name="Explanatory Text 2" xfId="87"/>
    <cellStyle name="Explanatory Text 3" xfId="131"/>
    <cellStyle name="Explanatory Text 4" xfId="34"/>
    <cellStyle name="field names" xfId="35"/>
    <cellStyle name="footer" xfId="36"/>
    <cellStyle name="Good 2" xfId="88"/>
    <cellStyle name="Good 3" xfId="37"/>
    <cellStyle name="heading" xfId="38"/>
    <cellStyle name="Heading 1 2" xfId="89"/>
    <cellStyle name="Heading 1 3" xfId="132"/>
    <cellStyle name="Heading 1 4" xfId="39"/>
    <cellStyle name="Heading 2 2" xfId="90"/>
    <cellStyle name="Heading 2 3" xfId="133"/>
    <cellStyle name="Heading 2 4" xfId="40"/>
    <cellStyle name="Heading 3 2" xfId="91"/>
    <cellStyle name="Heading 3 3" xfId="134"/>
    <cellStyle name="Heading 3 4" xfId="41"/>
    <cellStyle name="Heading 4 2" xfId="92"/>
    <cellStyle name="Heading 4 3" xfId="135"/>
    <cellStyle name="Heading 4 4" xfId="42"/>
    <cellStyle name="Input 2" xfId="93"/>
    <cellStyle name="Input 2 2" xfId="176"/>
    <cellStyle name="Input 3" xfId="136"/>
    <cellStyle name="Input 3 2" xfId="165"/>
    <cellStyle name="Input 3 3" xfId="182"/>
    <cellStyle name="Input 4" xfId="143"/>
    <cellStyle name="Input 4 2" xfId="171"/>
    <cellStyle name="Input 4 3" xfId="186"/>
    <cellStyle name="Input 5" xfId="153"/>
    <cellStyle name="Input 6" xfId="43"/>
    <cellStyle name="Linked Cell 2" xfId="94"/>
    <cellStyle name="Linked Cell 3" xfId="44"/>
    <cellStyle name="Neutral 2" xfId="95"/>
    <cellStyle name="Neutral 3" xfId="45"/>
    <cellStyle name="Normal" xfId="0" builtinId="0"/>
    <cellStyle name="Normal 10" xfId="191"/>
    <cellStyle name="Normal 14 2" xfId="190"/>
    <cellStyle name="Normal 2" xfId="55"/>
    <cellStyle name="Normal 2 2" xfId="102"/>
    <cellStyle name="Normal 2 3" xfId="137"/>
    <cellStyle name="Normal 2 3 2" xfId="166"/>
    <cellStyle name="Normal 3" xfId="54"/>
    <cellStyle name="Normal 3 2" xfId="104"/>
    <cellStyle name="Normal 3 2 2" xfId="108"/>
    <cellStyle name="Normal 3 2 2 2" xfId="161"/>
    <cellStyle name="Normal 3 2 3" xfId="157"/>
    <cellStyle name="Normal 3 3" xfId="106"/>
    <cellStyle name="Normal 3 3 2" xfId="159"/>
    <cellStyle name="Normal 3 4" xfId="150"/>
    <cellStyle name="Normal 4" xfId="103"/>
    <cellStyle name="Normal 4 2" xfId="107"/>
    <cellStyle name="Normal 4 2 2" xfId="160"/>
    <cellStyle name="Normal 4 3" xfId="156"/>
    <cellStyle name="Normal 5" xfId="105"/>
    <cellStyle name="Normal 5 2" xfId="158"/>
    <cellStyle name="Normal 6" xfId="2"/>
    <cellStyle name="Normal 6 2" xfId="192"/>
    <cellStyle name="Note 2" xfId="96"/>
    <cellStyle name="Note 2 2" xfId="177"/>
    <cellStyle name="Note 3" xfId="138"/>
    <cellStyle name="Note 3 2" xfId="167"/>
    <cellStyle name="Note 3 3" xfId="183"/>
    <cellStyle name="Note 4" xfId="144"/>
    <cellStyle name="Note 4 2" xfId="172"/>
    <cellStyle name="Note 4 3" xfId="187"/>
    <cellStyle name="Note 5" xfId="152"/>
    <cellStyle name="Note 6" xfId="46"/>
    <cellStyle name="Output 2" xfId="97"/>
    <cellStyle name="Output 2 2" xfId="154"/>
    <cellStyle name="Output 2 3" xfId="178"/>
    <cellStyle name="Output 3" xfId="139"/>
    <cellStyle name="Output 3 2" xfId="168"/>
    <cellStyle name="Output 3 3" xfId="184"/>
    <cellStyle name="Output 4" xfId="145"/>
    <cellStyle name="Output 4 2" xfId="173"/>
    <cellStyle name="Output 4 3" xfId="188"/>
    <cellStyle name="Output 5" xfId="149"/>
    <cellStyle name="Output 6" xfId="147"/>
    <cellStyle name="Output 7" xfId="47"/>
    <cellStyle name="Output Amounts" xfId="48"/>
    <cellStyle name="Output Line Items" xfId="49"/>
    <cellStyle name="Percent 2" xfId="194"/>
    <cellStyle name="rowfield" xfId="50"/>
    <cellStyle name="rowfield 2" xfId="98"/>
    <cellStyle name="rowfield 2 2" xfId="155"/>
    <cellStyle name="rowfield 2 3" xfId="189"/>
    <cellStyle name="rowfield 3" xfId="109"/>
    <cellStyle name="rowfield 3 2" xfId="162"/>
    <cellStyle name="rowfield 3 3" xfId="180"/>
    <cellStyle name="Title 2" xfId="99"/>
    <cellStyle name="Title 3" xfId="140"/>
    <cellStyle name="Title 4" xfId="51"/>
    <cellStyle name="Total 2" xfId="100"/>
    <cellStyle name="Total 2 2" xfId="179"/>
    <cellStyle name="Total 3" xfId="141"/>
    <cellStyle name="Total 3 2" xfId="169"/>
    <cellStyle name="Total 4" xfId="146"/>
    <cellStyle name="Total 4 2" xfId="174"/>
    <cellStyle name="Total 5" xfId="151"/>
    <cellStyle name="Total 6" xfId="52"/>
    <cellStyle name="Warning Text 2" xfId="101"/>
    <cellStyle name="Warning Text 3" xfId="53"/>
  </cellStyles>
  <dxfs count="0"/>
  <tableStyles count="0" defaultTableStyle="TableStyleMedium2" defaultPivotStyle="PivotStyleLight16"/>
  <colors>
    <mruColors>
      <color rgb="FF33CCCC"/>
      <color rgb="FF66FFFF"/>
      <color rgb="FF1F7768"/>
      <color rgb="FF00CC66"/>
      <color rgb="FF33CC33"/>
      <color rgb="FF99FF99"/>
      <color rgb="FF009A46"/>
      <color rgb="FFCCFFFF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N116"/>
  <sheetViews>
    <sheetView showGridLines="0" tabSelected="1" zoomScale="70" zoomScaleNormal="70" workbookViewId="0">
      <selection activeCell="L5" sqref="L5"/>
    </sheetView>
  </sheetViews>
  <sheetFormatPr defaultColWidth="9.140625" defaultRowHeight="14.25"/>
  <cols>
    <col min="1" max="1" width="6.28515625" style="194" customWidth="1"/>
    <col min="2" max="2" width="40.7109375" style="194" customWidth="1"/>
    <col min="3" max="3" width="9.140625" style="194"/>
    <col min="4" max="6" width="17.140625" style="194" customWidth="1"/>
    <col min="7" max="7" width="8.42578125" style="194" customWidth="1"/>
    <col min="8" max="8" width="17.140625" style="194" customWidth="1"/>
    <col min="9" max="9" width="39.5703125" style="191" customWidth="1"/>
    <col min="10" max="10" width="13.42578125" style="201" customWidth="1"/>
    <col min="11" max="11" width="16.42578125" style="201" customWidth="1"/>
    <col min="12" max="12" width="18.140625" style="194" customWidth="1"/>
    <col min="13" max="13" width="19.5703125" style="194" customWidth="1"/>
    <col min="14" max="14" width="37.140625" style="194" customWidth="1"/>
    <col min="15" max="15" width="13.42578125" style="194" customWidth="1"/>
    <col min="16" max="18" width="17.28515625" style="194" customWidth="1"/>
    <col min="19" max="19" width="13.42578125" style="194" customWidth="1"/>
    <col min="20" max="20" width="33.7109375" style="194" customWidth="1"/>
    <col min="21" max="21" width="13.42578125" style="194" customWidth="1"/>
    <col min="22" max="22" width="17.28515625" style="194" customWidth="1"/>
    <col min="23" max="23" width="13.42578125" style="194" customWidth="1"/>
    <col min="24" max="24" width="41.5703125" style="194" customWidth="1"/>
    <col min="25" max="25" width="13.42578125" style="191" customWidth="1"/>
    <col min="26" max="26" width="15.42578125" style="191" customWidth="1"/>
    <col min="27" max="30" width="15.42578125" style="194" customWidth="1"/>
    <col min="31" max="31" width="12.7109375" style="194" bestFit="1" customWidth="1"/>
    <col min="32" max="32" width="36.140625" style="194" customWidth="1"/>
    <col min="33" max="33" width="13.85546875" style="194" customWidth="1"/>
    <col min="34" max="38" width="15.5703125" style="194" customWidth="1"/>
    <col min="39" max="39" width="13.140625" style="194" bestFit="1" customWidth="1"/>
    <col min="40" max="40" width="34.7109375" style="194" customWidth="1"/>
    <col min="41" max="41" width="12" style="194" bestFit="1" customWidth="1"/>
    <col min="42" max="47" width="14.85546875" style="194" customWidth="1"/>
    <col min="48" max="48" width="19" style="194" customWidth="1"/>
    <col min="49" max="49" width="14.85546875" style="194" customWidth="1"/>
    <col min="50" max="50" width="12.28515625" style="194" bestFit="1" customWidth="1"/>
    <col min="51" max="51" width="37.7109375" style="194" customWidth="1"/>
    <col min="52" max="55" width="15.85546875" style="194" customWidth="1"/>
    <col min="56" max="56" width="16.7109375" style="194" customWidth="1"/>
    <col min="57" max="57" width="12.7109375" style="194" bestFit="1" customWidth="1"/>
    <col min="58" max="58" width="40.7109375" style="194" customWidth="1"/>
    <col min="59" max="59" width="12.42578125" style="194" customWidth="1"/>
    <col min="60" max="61" width="16" style="194" customWidth="1"/>
    <col min="62" max="62" width="12" style="194" bestFit="1" customWidth="1"/>
    <col min="63" max="63" width="33.7109375" style="194" customWidth="1"/>
    <col min="64" max="75" width="15.7109375" style="194" customWidth="1"/>
    <col min="76" max="76" width="12" style="194" bestFit="1" customWidth="1"/>
    <col min="77" max="77" width="37.85546875" style="194" customWidth="1"/>
    <col min="78" max="78" width="9.140625" style="194"/>
    <col min="79" max="94" width="16.140625" style="194" customWidth="1"/>
    <col min="95" max="95" width="9.140625" style="194"/>
    <col min="96" max="96" width="35.28515625" style="194" customWidth="1"/>
    <col min="97" max="97" width="13.140625" style="194" customWidth="1"/>
    <col min="98" max="98" width="18.85546875" style="194" bestFit="1" customWidth="1"/>
    <col min="99" max="99" width="14.42578125" style="194" customWidth="1"/>
    <col min="100" max="104" width="14.85546875" style="194" bestFit="1" customWidth="1"/>
    <col min="105" max="105" width="9.140625" style="194"/>
    <col min="106" max="106" width="39.28515625" style="194" customWidth="1"/>
    <col min="107" max="107" width="9.140625" style="194"/>
    <col min="108" max="114" width="14.85546875" style="194" customWidth="1"/>
    <col min="115" max="115" width="9.140625" style="194"/>
    <col min="116" max="116" width="40.140625" style="194" customWidth="1"/>
    <col min="117" max="117" width="16.42578125" style="194" customWidth="1"/>
    <col min="118" max="118" width="18.7109375" style="194" customWidth="1"/>
    <col min="119" max="120" width="18.140625" style="194" customWidth="1"/>
    <col min="121" max="16384" width="9.140625" style="194"/>
  </cols>
  <sheetData>
    <row r="1" spans="2:118" s="191" customFormat="1" ht="30.75">
      <c r="B1" s="317" t="s">
        <v>206</v>
      </c>
      <c r="C1" s="194"/>
      <c r="D1" s="194"/>
      <c r="E1" s="194"/>
      <c r="F1" s="194"/>
      <c r="G1" s="194"/>
      <c r="H1" s="194"/>
      <c r="I1" s="299" t="s">
        <v>216</v>
      </c>
      <c r="J1" s="26"/>
      <c r="K1" s="26"/>
    </row>
    <row r="2" spans="2:118" ht="17.25">
      <c r="B2" s="298" t="s">
        <v>203</v>
      </c>
      <c r="I2" s="192" t="s">
        <v>205</v>
      </c>
      <c r="J2" s="191"/>
      <c r="K2" s="193">
        <f>115.2/105.6</f>
        <v>1.0909090909090911</v>
      </c>
      <c r="L2" s="194" t="s">
        <v>217</v>
      </c>
      <c r="Y2" s="194"/>
      <c r="AA2" s="191"/>
    </row>
    <row r="3" spans="2:118" s="191" customFormat="1" ht="20.25">
      <c r="B3" s="298" t="s">
        <v>202</v>
      </c>
      <c r="G3" s="194"/>
      <c r="I3" s="190" t="s">
        <v>204</v>
      </c>
      <c r="J3" s="26"/>
      <c r="K3" s="297">
        <v>43525</v>
      </c>
    </row>
    <row r="4" spans="2:118" ht="30" customHeight="1">
      <c r="I4" s="321" t="s">
        <v>208</v>
      </c>
      <c r="J4" s="26"/>
      <c r="K4" s="320">
        <v>43678</v>
      </c>
      <c r="L4" s="191"/>
      <c r="M4" s="191"/>
      <c r="N4" s="191"/>
      <c r="O4" s="191"/>
      <c r="P4" s="191"/>
      <c r="Q4" s="191"/>
      <c r="R4" s="191"/>
      <c r="S4" s="191"/>
      <c r="U4" s="191"/>
      <c r="V4" s="191"/>
      <c r="W4" s="191"/>
      <c r="AO4" s="195"/>
      <c r="AP4" s="195"/>
      <c r="AQ4" s="191"/>
      <c r="AR4" s="191"/>
      <c r="AS4" s="191"/>
      <c r="AT4" s="191"/>
      <c r="AU4" s="191"/>
      <c r="AV4" s="191"/>
      <c r="AW4" s="191"/>
      <c r="AZ4" s="195"/>
      <c r="BA4" s="195"/>
      <c r="BB4" s="191"/>
      <c r="BC4" s="191"/>
      <c r="BD4" s="191"/>
      <c r="BG4" s="195"/>
      <c r="BH4" s="195"/>
      <c r="BI4" s="191"/>
      <c r="BL4" s="195"/>
      <c r="BM4" s="195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Z4" s="26"/>
      <c r="CA4" s="26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</row>
    <row r="5" spans="2:118" s="300" customFormat="1" ht="30.75">
      <c r="G5" s="194"/>
      <c r="H5" s="301"/>
      <c r="I5" s="302" t="s">
        <v>7</v>
      </c>
      <c r="J5" s="303"/>
      <c r="K5" s="303"/>
      <c r="L5" s="304"/>
      <c r="M5" s="304"/>
      <c r="N5" s="302" t="s">
        <v>12</v>
      </c>
      <c r="O5" s="302"/>
      <c r="P5" s="304"/>
      <c r="Q5" s="304"/>
      <c r="R5" s="304"/>
      <c r="S5" s="304"/>
      <c r="T5" s="302" t="s">
        <v>15</v>
      </c>
      <c r="U5" s="303"/>
      <c r="V5" s="303"/>
      <c r="W5" s="304"/>
      <c r="X5" s="302" t="s">
        <v>16</v>
      </c>
      <c r="Y5" s="303"/>
      <c r="Z5" s="303"/>
      <c r="AA5" s="304"/>
      <c r="AB5" s="304"/>
      <c r="AC5" s="304"/>
      <c r="AD5" s="304"/>
      <c r="AF5" s="302" t="s">
        <v>26</v>
      </c>
      <c r="AG5" s="303"/>
      <c r="AH5" s="303"/>
      <c r="AI5" s="304"/>
      <c r="AJ5" s="304"/>
      <c r="AK5" s="304"/>
      <c r="AL5" s="305"/>
      <c r="AN5" s="318" t="s">
        <v>31</v>
      </c>
      <c r="AO5" s="319"/>
      <c r="AP5" s="303"/>
      <c r="AQ5" s="304"/>
      <c r="AR5" s="304"/>
      <c r="AS5" s="304"/>
      <c r="AT5" s="304"/>
      <c r="AU5" s="304"/>
      <c r="AV5" s="304"/>
      <c r="AW5" s="304"/>
      <c r="AY5" s="302" t="s">
        <v>50</v>
      </c>
      <c r="AZ5" s="303"/>
      <c r="BA5" s="303"/>
      <c r="BB5" s="304"/>
      <c r="BC5" s="304"/>
      <c r="BD5" s="304"/>
      <c r="BF5" s="302" t="s">
        <v>58</v>
      </c>
      <c r="BG5" s="303"/>
      <c r="BH5" s="303"/>
      <c r="BI5" s="304"/>
      <c r="BK5" s="302" t="s">
        <v>63</v>
      </c>
      <c r="BL5" s="303"/>
      <c r="BM5" s="303"/>
      <c r="BN5" s="304"/>
      <c r="BO5" s="304"/>
      <c r="BP5" s="304"/>
      <c r="BQ5" s="304"/>
      <c r="BR5" s="304"/>
      <c r="BS5" s="304"/>
      <c r="BT5" s="304"/>
      <c r="BU5" s="304"/>
      <c r="BV5" s="304"/>
      <c r="BW5" s="304"/>
      <c r="BY5" s="302" t="s">
        <v>154</v>
      </c>
      <c r="BZ5" s="302"/>
      <c r="CA5" s="302"/>
      <c r="CB5" s="302"/>
      <c r="CC5" s="304"/>
      <c r="CD5" s="304"/>
      <c r="CE5" s="304"/>
      <c r="CF5" s="304"/>
      <c r="CG5" s="304"/>
      <c r="CH5" s="304"/>
      <c r="CI5" s="304"/>
      <c r="CJ5" s="304"/>
      <c r="CK5" s="304"/>
      <c r="CL5" s="304"/>
      <c r="CM5" s="304"/>
      <c r="CN5" s="304"/>
      <c r="CO5" s="304"/>
      <c r="CP5" s="304"/>
      <c r="CR5" s="302" t="s">
        <v>175</v>
      </c>
      <c r="DB5" s="302" t="s">
        <v>176</v>
      </c>
      <c r="DC5" s="302"/>
      <c r="DL5" s="302" t="s">
        <v>167</v>
      </c>
      <c r="DM5" s="302"/>
      <c r="DN5" s="302"/>
    </row>
    <row r="6" spans="2:118" ht="10.5" customHeight="1" thickBot="1">
      <c r="H6" s="296"/>
      <c r="I6" s="14"/>
      <c r="J6" s="195"/>
      <c r="K6" s="195"/>
      <c r="L6" s="191"/>
      <c r="M6" s="191"/>
      <c r="N6" s="14"/>
      <c r="O6" s="191"/>
      <c r="P6" s="191"/>
      <c r="Q6" s="191"/>
      <c r="R6" s="191"/>
      <c r="S6" s="191"/>
      <c r="T6" s="14"/>
      <c r="U6" s="195"/>
      <c r="V6" s="195"/>
      <c r="W6" s="191"/>
      <c r="X6" s="14"/>
      <c r="Y6" s="195"/>
      <c r="Z6" s="195"/>
      <c r="AA6" s="191"/>
      <c r="AB6" s="191"/>
      <c r="AC6" s="191"/>
      <c r="AD6" s="191"/>
      <c r="AF6" s="14"/>
      <c r="AG6" s="195"/>
      <c r="AH6" s="195"/>
      <c r="AI6" s="191"/>
      <c r="AJ6" s="191"/>
      <c r="AK6" s="191"/>
      <c r="AL6" s="196"/>
      <c r="AN6" s="14"/>
      <c r="AO6" s="195"/>
      <c r="AP6" s="195"/>
      <c r="AQ6" s="191"/>
      <c r="AR6" s="191"/>
      <c r="AS6" s="191"/>
      <c r="AT6" s="191"/>
      <c r="AU6" s="191"/>
      <c r="AV6" s="191"/>
      <c r="AW6" s="191"/>
      <c r="AY6" s="14"/>
      <c r="AZ6" s="195"/>
      <c r="BA6" s="195"/>
      <c r="BB6" s="191"/>
      <c r="BC6" s="191"/>
      <c r="BD6" s="191"/>
      <c r="BF6" s="14"/>
      <c r="BG6" s="195"/>
      <c r="BH6" s="195"/>
      <c r="BI6" s="191"/>
      <c r="BK6" s="14"/>
      <c r="BL6" s="195"/>
      <c r="BM6" s="195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DL6" s="295"/>
    </row>
    <row r="7" spans="2:118" ht="64.150000000000006" customHeight="1" thickBot="1">
      <c r="B7" s="131" t="s">
        <v>0</v>
      </c>
      <c r="C7" s="222"/>
      <c r="D7" s="234" t="s">
        <v>180</v>
      </c>
      <c r="E7" s="131" t="s">
        <v>181</v>
      </c>
      <c r="F7" s="131" t="s">
        <v>182</v>
      </c>
      <c r="H7" s="296"/>
      <c r="I7" s="131" t="s">
        <v>0</v>
      </c>
      <c r="J7" s="222"/>
      <c r="K7" s="234" t="s">
        <v>8</v>
      </c>
      <c r="L7" s="131" t="s">
        <v>9</v>
      </c>
      <c r="M7" s="191"/>
      <c r="N7" s="131" t="str">
        <f>I7</f>
        <v>Catchment</v>
      </c>
      <c r="O7" s="222"/>
      <c r="P7" s="131" t="s">
        <v>150</v>
      </c>
      <c r="Q7" s="231" t="s">
        <v>13</v>
      </c>
      <c r="R7" s="131" t="s">
        <v>9</v>
      </c>
      <c r="S7" s="191"/>
      <c r="T7" s="131" t="str">
        <f>I7</f>
        <v>Catchment</v>
      </c>
      <c r="U7" s="222"/>
      <c r="V7" s="131" t="s">
        <v>15</v>
      </c>
      <c r="W7" s="191"/>
      <c r="X7" s="131" t="str">
        <f>I7</f>
        <v>Catchment</v>
      </c>
      <c r="Y7" s="222"/>
      <c r="Z7" s="131" t="s">
        <v>17</v>
      </c>
      <c r="AA7" s="231" t="s">
        <v>18</v>
      </c>
      <c r="AB7" s="131" t="s">
        <v>19</v>
      </c>
      <c r="AC7" s="232" t="s">
        <v>1</v>
      </c>
      <c r="AD7" s="233" t="s">
        <v>9</v>
      </c>
      <c r="AF7" s="131" t="s">
        <v>0</v>
      </c>
      <c r="AG7" s="222"/>
      <c r="AH7" s="131" t="s">
        <v>28</v>
      </c>
      <c r="AI7" s="231" t="s">
        <v>27</v>
      </c>
      <c r="AJ7" s="131" t="s">
        <v>29</v>
      </c>
      <c r="AK7" s="231" t="s">
        <v>30</v>
      </c>
      <c r="AL7" s="223" t="s">
        <v>9</v>
      </c>
      <c r="AN7" s="131" t="s">
        <v>0</v>
      </c>
      <c r="AO7" s="131"/>
      <c r="AP7" s="131" t="s">
        <v>32</v>
      </c>
      <c r="AQ7" s="223" t="s">
        <v>33</v>
      </c>
      <c r="AR7" s="346" t="s">
        <v>34</v>
      </c>
      <c r="AS7" s="347"/>
      <c r="AT7" s="229" t="s">
        <v>36</v>
      </c>
      <c r="AU7" s="223" t="s">
        <v>37</v>
      </c>
      <c r="AV7" s="223" t="s">
        <v>38</v>
      </c>
      <c r="AW7" s="223" t="s">
        <v>9</v>
      </c>
      <c r="AY7" s="131" t="s">
        <v>0</v>
      </c>
      <c r="AZ7" s="222"/>
      <c r="BA7" s="131" t="s">
        <v>210</v>
      </c>
      <c r="BB7" s="223" t="s">
        <v>211</v>
      </c>
      <c r="BC7" s="131" t="s">
        <v>51</v>
      </c>
      <c r="BD7" s="223" t="s">
        <v>9</v>
      </c>
      <c r="BF7" s="131" t="str">
        <f>+I7</f>
        <v>Catchment</v>
      </c>
      <c r="BG7" s="222" t="s">
        <v>151</v>
      </c>
      <c r="BH7" s="131" t="s">
        <v>59</v>
      </c>
      <c r="BI7" s="223" t="s">
        <v>9</v>
      </c>
      <c r="BK7" s="131" t="s">
        <v>0</v>
      </c>
      <c r="BL7" s="222" t="s">
        <v>151</v>
      </c>
      <c r="BM7" s="346" t="s">
        <v>64</v>
      </c>
      <c r="BN7" s="347"/>
      <c r="BO7" s="350" t="s">
        <v>65</v>
      </c>
      <c r="BP7" s="351"/>
      <c r="BQ7" s="131" t="s">
        <v>66</v>
      </c>
      <c r="BR7" s="231" t="s">
        <v>67</v>
      </c>
      <c r="BS7" s="231" t="s">
        <v>68</v>
      </c>
      <c r="BT7" s="223" t="s">
        <v>69</v>
      </c>
      <c r="BU7" s="348" t="s">
        <v>70</v>
      </c>
      <c r="BV7" s="349"/>
      <c r="BW7" s="223" t="s">
        <v>9</v>
      </c>
      <c r="BY7" s="131" t="str">
        <f>+I7</f>
        <v>Catchment</v>
      </c>
      <c r="BZ7" s="222" t="s">
        <v>151</v>
      </c>
      <c r="CA7" s="92" t="s">
        <v>72</v>
      </c>
      <c r="CB7" s="93" t="s">
        <v>73</v>
      </c>
      <c r="CC7" s="94" t="s">
        <v>74</v>
      </c>
      <c r="CD7" s="94" t="s">
        <v>75</v>
      </c>
      <c r="CE7" s="95" t="s">
        <v>76</v>
      </c>
      <c r="CF7" s="93" t="s">
        <v>77</v>
      </c>
      <c r="CG7" s="94" t="s">
        <v>78</v>
      </c>
      <c r="CH7" s="95" t="s">
        <v>79</v>
      </c>
      <c r="CI7" s="96" t="s">
        <v>80</v>
      </c>
      <c r="CJ7" s="97" t="s">
        <v>81</v>
      </c>
      <c r="CK7" s="98" t="s">
        <v>82</v>
      </c>
      <c r="CL7" s="99" t="s">
        <v>1</v>
      </c>
      <c r="CM7" s="100" t="s">
        <v>83</v>
      </c>
      <c r="CN7" s="100" t="s">
        <v>84</v>
      </c>
      <c r="CO7" s="100" t="s">
        <v>85</v>
      </c>
      <c r="CP7" s="100" t="s">
        <v>86</v>
      </c>
      <c r="CR7" s="102" t="str">
        <f>+I7</f>
        <v>Catchment</v>
      </c>
      <c r="CS7" s="225" t="s">
        <v>151</v>
      </c>
      <c r="CT7" s="129" t="s">
        <v>155</v>
      </c>
      <c r="CU7" s="102" t="s">
        <v>156</v>
      </c>
      <c r="CV7" s="102" t="s">
        <v>157</v>
      </c>
      <c r="CW7" s="102" t="s">
        <v>158</v>
      </c>
      <c r="CX7" s="102" t="s">
        <v>159</v>
      </c>
      <c r="CY7" s="102" t="s">
        <v>160</v>
      </c>
      <c r="CZ7" s="102" t="s">
        <v>161</v>
      </c>
      <c r="DB7" s="102" t="str">
        <f>+I7</f>
        <v>Catchment</v>
      </c>
      <c r="DC7" s="225" t="s">
        <v>151</v>
      </c>
      <c r="DD7" s="102" t="s">
        <v>171</v>
      </c>
      <c r="DE7" s="102" t="s">
        <v>162</v>
      </c>
      <c r="DF7" s="102" t="s">
        <v>172</v>
      </c>
      <c r="DG7" s="102" t="s">
        <v>163</v>
      </c>
      <c r="DH7" s="102" t="s">
        <v>164</v>
      </c>
      <c r="DI7" s="102" t="s">
        <v>165</v>
      </c>
      <c r="DJ7" s="102" t="s">
        <v>166</v>
      </c>
      <c r="DL7" s="102" t="s">
        <v>214</v>
      </c>
      <c r="DM7" s="225" t="s">
        <v>151</v>
      </c>
      <c r="DN7" s="102" t="s">
        <v>167</v>
      </c>
    </row>
    <row r="8" spans="2:118" s="198" customFormat="1" ht="34.5" customHeight="1">
      <c r="B8" s="152"/>
      <c r="C8" s="152" t="s">
        <v>151</v>
      </c>
      <c r="D8" s="222" t="s">
        <v>61</v>
      </c>
      <c r="E8" s="225" t="s">
        <v>61</v>
      </c>
      <c r="F8" s="225"/>
      <c r="G8" s="194"/>
      <c r="H8" s="296"/>
      <c r="I8" s="152"/>
      <c r="J8" s="152" t="s">
        <v>151</v>
      </c>
      <c r="K8" s="222" t="s">
        <v>183</v>
      </c>
      <c r="L8" s="225" t="s">
        <v>183</v>
      </c>
      <c r="M8" s="197"/>
      <c r="N8" s="152"/>
      <c r="O8" s="152" t="s">
        <v>151</v>
      </c>
      <c r="P8" s="222" t="s">
        <v>183</v>
      </c>
      <c r="Q8" s="222" t="s">
        <v>183</v>
      </c>
      <c r="R8" s="225" t="s">
        <v>183</v>
      </c>
      <c r="S8" s="197"/>
      <c r="T8" s="152"/>
      <c r="U8" s="152" t="s">
        <v>151</v>
      </c>
      <c r="V8" s="225" t="s">
        <v>183</v>
      </c>
      <c r="W8" s="197"/>
      <c r="X8" s="152"/>
      <c r="Y8" s="152" t="s">
        <v>151</v>
      </c>
      <c r="Z8" s="222" t="s">
        <v>183</v>
      </c>
      <c r="AA8" s="222" t="s">
        <v>183</v>
      </c>
      <c r="AB8" s="222" t="s">
        <v>183</v>
      </c>
      <c r="AC8" s="222" t="s">
        <v>183</v>
      </c>
      <c r="AD8" s="225" t="s">
        <v>183</v>
      </c>
      <c r="AF8" s="152"/>
      <c r="AG8" s="152" t="s">
        <v>151</v>
      </c>
      <c r="AH8" s="222" t="s">
        <v>183</v>
      </c>
      <c r="AI8" s="222" t="s">
        <v>183</v>
      </c>
      <c r="AJ8" s="222" t="s">
        <v>183</v>
      </c>
      <c r="AK8" s="222" t="s">
        <v>183</v>
      </c>
      <c r="AL8" s="225" t="s">
        <v>183</v>
      </c>
      <c r="AN8" s="152"/>
      <c r="AO8" s="152" t="s">
        <v>151</v>
      </c>
      <c r="AP8" s="222" t="s">
        <v>183</v>
      </c>
      <c r="AQ8" s="222" t="s">
        <v>183</v>
      </c>
      <c r="AR8" s="222" t="s">
        <v>183</v>
      </c>
      <c r="AS8" s="152" t="s">
        <v>71</v>
      </c>
      <c r="AT8" s="222" t="s">
        <v>183</v>
      </c>
      <c r="AU8" s="222" t="s">
        <v>183</v>
      </c>
      <c r="AV8" s="222" t="s">
        <v>183</v>
      </c>
      <c r="AW8" s="225" t="s">
        <v>183</v>
      </c>
      <c r="AY8" s="152"/>
      <c r="AZ8" s="152" t="s">
        <v>151</v>
      </c>
      <c r="BA8" s="225" t="s">
        <v>183</v>
      </c>
      <c r="BB8" s="225" t="s">
        <v>183</v>
      </c>
      <c r="BC8" s="225" t="s">
        <v>183</v>
      </c>
      <c r="BD8" s="225" t="s">
        <v>183</v>
      </c>
      <c r="BF8" s="152"/>
      <c r="BG8" s="152" t="s">
        <v>151</v>
      </c>
      <c r="BH8" s="225" t="s">
        <v>183</v>
      </c>
      <c r="BI8" s="225" t="s">
        <v>183</v>
      </c>
      <c r="BJ8" s="194"/>
      <c r="BK8" s="152"/>
      <c r="BL8" s="224"/>
      <c r="BM8" s="225" t="s">
        <v>62</v>
      </c>
      <c r="BN8" s="225" t="s">
        <v>183</v>
      </c>
      <c r="BO8" s="225" t="s">
        <v>62</v>
      </c>
      <c r="BP8" s="225" t="s">
        <v>183</v>
      </c>
      <c r="BQ8" s="225" t="s">
        <v>183</v>
      </c>
      <c r="BR8" s="225" t="s">
        <v>183</v>
      </c>
      <c r="BS8" s="225" t="s">
        <v>183</v>
      </c>
      <c r="BT8" s="225" t="s">
        <v>183</v>
      </c>
      <c r="BU8" s="225" t="s">
        <v>62</v>
      </c>
      <c r="BV8" s="225" t="s">
        <v>183</v>
      </c>
      <c r="BW8" s="225" t="s">
        <v>183</v>
      </c>
      <c r="BY8" s="154"/>
      <c r="BZ8" s="155"/>
      <c r="CA8" s="156" t="s">
        <v>25</v>
      </c>
      <c r="CB8" s="157" t="s">
        <v>25</v>
      </c>
      <c r="CC8" s="158" t="s">
        <v>25</v>
      </c>
      <c r="CD8" s="158" t="s">
        <v>25</v>
      </c>
      <c r="CE8" s="159" t="s">
        <v>25</v>
      </c>
      <c r="CF8" s="157" t="s">
        <v>25</v>
      </c>
      <c r="CG8" s="158" t="s">
        <v>25</v>
      </c>
      <c r="CH8" s="159" t="s">
        <v>25</v>
      </c>
      <c r="CI8" s="160" t="s">
        <v>25</v>
      </c>
      <c r="CJ8" s="161" t="s">
        <v>25</v>
      </c>
      <c r="CK8" s="162" t="s">
        <v>25</v>
      </c>
      <c r="CL8" s="163" t="s">
        <v>25</v>
      </c>
      <c r="CM8" s="156" t="s">
        <v>25</v>
      </c>
      <c r="CN8" s="156" t="s">
        <v>25</v>
      </c>
      <c r="CO8" s="156" t="s">
        <v>25</v>
      </c>
      <c r="CP8" s="164" t="s">
        <v>25</v>
      </c>
      <c r="CR8" s="154"/>
      <c r="CS8" s="154"/>
      <c r="CT8" s="155" t="s">
        <v>25</v>
      </c>
      <c r="CU8" s="155" t="s">
        <v>25</v>
      </c>
      <c r="CV8" s="155" t="s">
        <v>25</v>
      </c>
      <c r="CW8" s="155" t="s">
        <v>25</v>
      </c>
      <c r="CX8" s="155" t="s">
        <v>25</v>
      </c>
      <c r="CY8" s="155" t="s">
        <v>25</v>
      </c>
      <c r="CZ8" s="154" t="s">
        <v>25</v>
      </c>
      <c r="DB8" s="154"/>
      <c r="DC8" s="155"/>
      <c r="DD8" s="155" t="s">
        <v>25</v>
      </c>
      <c r="DE8" s="155" t="s">
        <v>25</v>
      </c>
      <c r="DF8" s="155" t="s">
        <v>25</v>
      </c>
      <c r="DG8" s="155" t="s">
        <v>25</v>
      </c>
      <c r="DH8" s="155" t="s">
        <v>25</v>
      </c>
      <c r="DI8" s="155" t="s">
        <v>25</v>
      </c>
      <c r="DJ8" s="154" t="s">
        <v>25</v>
      </c>
      <c r="DL8" s="154"/>
      <c r="DM8" s="155"/>
      <c r="DN8" s="154" t="s">
        <v>25</v>
      </c>
    </row>
    <row r="9" spans="2:118" ht="15.75" customHeight="1" thickBot="1">
      <c r="B9" s="230"/>
      <c r="C9" s="227"/>
      <c r="D9" s="227">
        <v>43282</v>
      </c>
      <c r="E9" s="228">
        <v>43282</v>
      </c>
      <c r="F9" s="228"/>
      <c r="H9" s="296"/>
      <c r="I9" s="230"/>
      <c r="J9" s="227"/>
      <c r="K9" s="228">
        <f>$K$3</f>
        <v>43525</v>
      </c>
      <c r="L9" s="228">
        <f>$K$3</f>
        <v>43525</v>
      </c>
      <c r="M9" s="191"/>
      <c r="N9" s="230"/>
      <c r="O9" s="227"/>
      <c r="P9" s="228">
        <f>$K$3</f>
        <v>43525</v>
      </c>
      <c r="Q9" s="228">
        <f t="shared" ref="Q9:R9" si="0">$K$3</f>
        <v>43525</v>
      </c>
      <c r="R9" s="228">
        <f t="shared" si="0"/>
        <v>43525</v>
      </c>
      <c r="S9" s="191"/>
      <c r="T9" s="230"/>
      <c r="U9" s="227"/>
      <c r="V9" s="228">
        <f t="shared" ref="V9" si="1">$K$3</f>
        <v>43525</v>
      </c>
      <c r="W9" s="191"/>
      <c r="X9" s="230"/>
      <c r="Y9" s="227"/>
      <c r="Z9" s="228">
        <f t="shared" ref="Z9:AD9" si="2">$K$3</f>
        <v>43525</v>
      </c>
      <c r="AA9" s="228">
        <f t="shared" si="2"/>
        <v>43525</v>
      </c>
      <c r="AB9" s="228">
        <f t="shared" si="2"/>
        <v>43525</v>
      </c>
      <c r="AC9" s="228">
        <f t="shared" si="2"/>
        <v>43525</v>
      </c>
      <c r="AD9" s="228">
        <f t="shared" si="2"/>
        <v>43525</v>
      </c>
      <c r="AF9" s="230"/>
      <c r="AG9" s="227"/>
      <c r="AH9" s="228">
        <f t="shared" ref="AH9:AL9" si="3">$K$3</f>
        <v>43525</v>
      </c>
      <c r="AI9" s="228">
        <f t="shared" si="3"/>
        <v>43525</v>
      </c>
      <c r="AJ9" s="228">
        <f t="shared" si="3"/>
        <v>43525</v>
      </c>
      <c r="AK9" s="228">
        <f t="shared" si="3"/>
        <v>43525</v>
      </c>
      <c r="AL9" s="228">
        <f t="shared" si="3"/>
        <v>43525</v>
      </c>
      <c r="AN9" s="230"/>
      <c r="AO9" s="228"/>
      <c r="AP9" s="228">
        <f t="shared" ref="AP9:AW9" si="4">$K$3</f>
        <v>43525</v>
      </c>
      <c r="AQ9" s="228">
        <f t="shared" si="4"/>
        <v>43525</v>
      </c>
      <c r="AR9" s="228">
        <f t="shared" si="4"/>
        <v>43525</v>
      </c>
      <c r="AS9" s="228">
        <f t="shared" si="4"/>
        <v>43525</v>
      </c>
      <c r="AT9" s="228">
        <f t="shared" si="4"/>
        <v>43525</v>
      </c>
      <c r="AU9" s="228">
        <f t="shared" si="4"/>
        <v>43525</v>
      </c>
      <c r="AV9" s="228">
        <f t="shared" si="4"/>
        <v>43525</v>
      </c>
      <c r="AW9" s="228">
        <f t="shared" si="4"/>
        <v>43525</v>
      </c>
      <c r="AY9" s="226"/>
      <c r="AZ9" s="227"/>
      <c r="BA9" s="228">
        <f t="shared" ref="BA9:BD9" si="5">$K$3</f>
        <v>43525</v>
      </c>
      <c r="BB9" s="228">
        <f t="shared" si="5"/>
        <v>43525</v>
      </c>
      <c r="BC9" s="228">
        <f t="shared" si="5"/>
        <v>43525</v>
      </c>
      <c r="BD9" s="228">
        <f t="shared" si="5"/>
        <v>43525</v>
      </c>
      <c r="BF9" s="152"/>
      <c r="BG9" s="224"/>
      <c r="BH9" s="228">
        <f t="shared" ref="BH9:BI9" si="6">$K$3</f>
        <v>43525</v>
      </c>
      <c r="BI9" s="228">
        <f t="shared" si="6"/>
        <v>43525</v>
      </c>
      <c r="BK9" s="230"/>
      <c r="BL9" s="230"/>
      <c r="BM9" s="228">
        <f t="shared" ref="BM9:BW9" si="7">$K$3</f>
        <v>43525</v>
      </c>
      <c r="BN9" s="228">
        <f t="shared" si="7"/>
        <v>43525</v>
      </c>
      <c r="BO9" s="228">
        <f t="shared" si="7"/>
        <v>43525</v>
      </c>
      <c r="BP9" s="228">
        <f t="shared" si="7"/>
        <v>43525</v>
      </c>
      <c r="BQ9" s="228">
        <f t="shared" si="7"/>
        <v>43525</v>
      </c>
      <c r="BR9" s="228">
        <f t="shared" si="7"/>
        <v>43525</v>
      </c>
      <c r="BS9" s="228">
        <f t="shared" si="7"/>
        <v>43525</v>
      </c>
      <c r="BT9" s="228">
        <f t="shared" si="7"/>
        <v>43525</v>
      </c>
      <c r="BU9" s="228">
        <f t="shared" si="7"/>
        <v>43525</v>
      </c>
      <c r="BV9" s="228">
        <f t="shared" si="7"/>
        <v>43525</v>
      </c>
      <c r="BW9" s="228">
        <f t="shared" si="7"/>
        <v>43525</v>
      </c>
      <c r="BY9" s="101"/>
      <c r="BZ9" s="103"/>
      <c r="CA9" s="228">
        <f t="shared" ref="CA9:CP9" si="8">$K$3</f>
        <v>43525</v>
      </c>
      <c r="CB9" s="228">
        <f t="shared" si="8"/>
        <v>43525</v>
      </c>
      <c r="CC9" s="228">
        <f t="shared" si="8"/>
        <v>43525</v>
      </c>
      <c r="CD9" s="228">
        <f t="shared" si="8"/>
        <v>43525</v>
      </c>
      <c r="CE9" s="228">
        <f t="shared" si="8"/>
        <v>43525</v>
      </c>
      <c r="CF9" s="228">
        <f t="shared" si="8"/>
        <v>43525</v>
      </c>
      <c r="CG9" s="228">
        <f t="shared" si="8"/>
        <v>43525</v>
      </c>
      <c r="CH9" s="228">
        <f t="shared" si="8"/>
        <v>43525</v>
      </c>
      <c r="CI9" s="228">
        <f t="shared" si="8"/>
        <v>43525</v>
      </c>
      <c r="CJ9" s="228">
        <f t="shared" si="8"/>
        <v>43525</v>
      </c>
      <c r="CK9" s="228">
        <f t="shared" si="8"/>
        <v>43525</v>
      </c>
      <c r="CL9" s="228">
        <f t="shared" si="8"/>
        <v>43525</v>
      </c>
      <c r="CM9" s="228">
        <f t="shared" si="8"/>
        <v>43525</v>
      </c>
      <c r="CN9" s="228">
        <f t="shared" si="8"/>
        <v>43525</v>
      </c>
      <c r="CO9" s="228">
        <f t="shared" si="8"/>
        <v>43525</v>
      </c>
      <c r="CP9" s="228">
        <f t="shared" si="8"/>
        <v>43525</v>
      </c>
      <c r="CR9" s="237"/>
      <c r="CS9" s="237"/>
      <c r="CT9" s="228">
        <f t="shared" ref="CT9:CZ9" si="9">$K$3</f>
        <v>43525</v>
      </c>
      <c r="CU9" s="228">
        <f t="shared" si="9"/>
        <v>43525</v>
      </c>
      <c r="CV9" s="228">
        <f t="shared" si="9"/>
        <v>43525</v>
      </c>
      <c r="CW9" s="228">
        <f t="shared" si="9"/>
        <v>43525</v>
      </c>
      <c r="CX9" s="228">
        <f t="shared" si="9"/>
        <v>43525</v>
      </c>
      <c r="CY9" s="228">
        <f t="shared" si="9"/>
        <v>43525</v>
      </c>
      <c r="CZ9" s="228">
        <f t="shared" si="9"/>
        <v>43525</v>
      </c>
      <c r="DB9" s="101"/>
      <c r="DC9" s="103"/>
      <c r="DD9" s="228">
        <f t="shared" ref="DD9:DJ9" si="10">$K$3</f>
        <v>43525</v>
      </c>
      <c r="DE9" s="228">
        <f t="shared" si="10"/>
        <v>43525</v>
      </c>
      <c r="DF9" s="228">
        <f t="shared" si="10"/>
        <v>43525</v>
      </c>
      <c r="DG9" s="228">
        <f t="shared" si="10"/>
        <v>43525</v>
      </c>
      <c r="DH9" s="228">
        <f t="shared" si="10"/>
        <v>43525</v>
      </c>
      <c r="DI9" s="228">
        <f t="shared" si="10"/>
        <v>43525</v>
      </c>
      <c r="DJ9" s="228">
        <f t="shared" si="10"/>
        <v>43525</v>
      </c>
      <c r="DL9" s="101"/>
      <c r="DM9" s="103"/>
      <c r="DN9" s="228">
        <f t="shared" ref="DN9" si="11">$K$3</f>
        <v>43525</v>
      </c>
    </row>
    <row r="10" spans="2:118" ht="27.75" customHeight="1">
      <c r="B10" s="131"/>
      <c r="C10" s="306"/>
      <c r="D10" s="307"/>
      <c r="E10" s="308"/>
      <c r="F10" s="308"/>
      <c r="H10" s="296"/>
      <c r="I10" s="174" t="s">
        <v>54</v>
      </c>
      <c r="J10" s="175">
        <v>1</v>
      </c>
      <c r="K10" s="176">
        <f>(78.33*$K$2)+0.01</f>
        <v>85.460909090909112</v>
      </c>
      <c r="L10" s="176">
        <f t="shared" ref="L10:L13" si="12">K10</f>
        <v>85.460909090909112</v>
      </c>
      <c r="M10" s="191"/>
      <c r="N10" s="174" t="s">
        <v>54</v>
      </c>
      <c r="O10" s="175">
        <v>1</v>
      </c>
      <c r="P10" s="177">
        <f>L10</f>
        <v>85.460909090909112</v>
      </c>
      <c r="Q10" s="177">
        <f>P10</f>
        <v>85.460909090909112</v>
      </c>
      <c r="R10" s="177">
        <f t="shared" ref="R10" si="13">P10</f>
        <v>85.460909090909112</v>
      </c>
      <c r="S10" s="191"/>
      <c r="T10" s="178" t="s">
        <v>54</v>
      </c>
      <c r="U10" s="179">
        <v>1</v>
      </c>
      <c r="V10" s="180">
        <f>L10</f>
        <v>85.460909090909112</v>
      </c>
      <c r="W10" s="191"/>
      <c r="X10" s="174" t="s">
        <v>54</v>
      </c>
      <c r="Y10" s="175">
        <v>1</v>
      </c>
      <c r="Z10" s="177">
        <f>K10</f>
        <v>85.460909090909112</v>
      </c>
      <c r="AA10" s="177">
        <f t="shared" ref="AA10:AA13" si="14">Z10</f>
        <v>85.460909090909112</v>
      </c>
      <c r="AB10" s="177">
        <f t="shared" ref="AB10:AB13" si="15">Z10</f>
        <v>85.460909090909112</v>
      </c>
      <c r="AC10" s="177">
        <f t="shared" ref="AC10:AC13" si="16">Z10</f>
        <v>85.460909090909112</v>
      </c>
      <c r="AD10" s="177">
        <f t="shared" ref="AD10:AD13" si="17">Z10</f>
        <v>85.460909090909112</v>
      </c>
      <c r="AF10" s="174" t="s">
        <v>54</v>
      </c>
      <c r="AG10" s="175">
        <v>1</v>
      </c>
      <c r="AH10" s="177">
        <f>K10</f>
        <v>85.460909090909112</v>
      </c>
      <c r="AI10" s="177">
        <f t="shared" ref="AI10:AI13" si="18">AH10</f>
        <v>85.460909090909112</v>
      </c>
      <c r="AJ10" s="177">
        <f t="shared" ref="AJ10:AJ13" si="19">AH10</f>
        <v>85.460909090909112</v>
      </c>
      <c r="AK10" s="177">
        <f t="shared" ref="AK10:AK13" si="20">AH10</f>
        <v>85.460909090909112</v>
      </c>
      <c r="AL10" s="177">
        <f t="shared" ref="AL10:AL13" si="21">AH10</f>
        <v>85.460909090909112</v>
      </c>
      <c r="AN10" s="174" t="s">
        <v>54</v>
      </c>
      <c r="AO10" s="175">
        <v>1</v>
      </c>
      <c r="AP10" s="177">
        <f>K10</f>
        <v>85.460909090909112</v>
      </c>
      <c r="AQ10" s="177">
        <f t="shared" ref="AQ10:AQ13" si="22">AP10</f>
        <v>85.460909090909112</v>
      </c>
      <c r="AR10" s="177">
        <f>AP10</f>
        <v>85.460909090909112</v>
      </c>
      <c r="AS10" s="236" t="s">
        <v>6</v>
      </c>
      <c r="AT10" s="177">
        <f>AP10</f>
        <v>85.460909090909112</v>
      </c>
      <c r="AU10" s="177">
        <f>AP10</f>
        <v>85.460909090909112</v>
      </c>
      <c r="AV10" s="177">
        <f>AP10</f>
        <v>85.460909090909112</v>
      </c>
      <c r="AW10" s="177">
        <f>AP10</f>
        <v>85.460909090909112</v>
      </c>
      <c r="AY10" s="174" t="s">
        <v>54</v>
      </c>
      <c r="AZ10" s="175">
        <v>1</v>
      </c>
      <c r="BA10" s="177">
        <f>K10</f>
        <v>85.460909090909112</v>
      </c>
      <c r="BB10" s="177">
        <f t="shared" ref="BB10:BB13" si="23">BA10</f>
        <v>85.460909090909112</v>
      </c>
      <c r="BC10" s="177">
        <f t="shared" ref="BC10:BC13" si="24">BA10</f>
        <v>85.460909090909112</v>
      </c>
      <c r="BD10" s="177">
        <f t="shared" ref="BD10:BD13" si="25">BA10</f>
        <v>85.460909090909112</v>
      </c>
      <c r="BF10" s="46" t="s">
        <v>54</v>
      </c>
      <c r="BG10" s="60">
        <v>1</v>
      </c>
      <c r="BH10" s="61">
        <f>K10</f>
        <v>85.460909090909112</v>
      </c>
      <c r="BI10" s="61">
        <f t="shared" ref="BI10" si="26">BH10</f>
        <v>85.460909090909112</v>
      </c>
      <c r="BK10" s="174" t="s">
        <v>54</v>
      </c>
      <c r="BL10" s="175">
        <v>1</v>
      </c>
      <c r="BM10" s="236" t="s">
        <v>6</v>
      </c>
      <c r="BN10" s="177">
        <f>K10</f>
        <v>85.460909090909112</v>
      </c>
      <c r="BO10" s="236" t="s">
        <v>6</v>
      </c>
      <c r="BP10" s="177">
        <f>BN10</f>
        <v>85.460909090909112</v>
      </c>
      <c r="BQ10" s="177">
        <f>BN10</f>
        <v>85.460909090909112</v>
      </c>
      <c r="BR10" s="177">
        <f>BN10</f>
        <v>85.460909090909112</v>
      </c>
      <c r="BS10" s="177">
        <f>BN10</f>
        <v>85.460909090909112</v>
      </c>
      <c r="BT10" s="177">
        <f>BN10</f>
        <v>85.460909090909112</v>
      </c>
      <c r="BU10" s="177" t="s">
        <v>6</v>
      </c>
      <c r="BV10" s="177">
        <f>BN10</f>
        <v>85.460909090909112</v>
      </c>
      <c r="BW10" s="177">
        <f>BN10</f>
        <v>85.460909090909112</v>
      </c>
      <c r="BY10" s="46" t="s">
        <v>54</v>
      </c>
      <c r="BZ10" s="60">
        <v>1</v>
      </c>
      <c r="CA10" s="61">
        <f>K10</f>
        <v>85.460909090909112</v>
      </c>
      <c r="CB10" s="61">
        <f t="shared" ref="CB10:CP10" si="27">$CA$10</f>
        <v>85.460909090909112</v>
      </c>
      <c r="CC10" s="61">
        <f t="shared" si="27"/>
        <v>85.460909090909112</v>
      </c>
      <c r="CD10" s="61">
        <f t="shared" si="27"/>
        <v>85.460909090909112</v>
      </c>
      <c r="CE10" s="61">
        <f t="shared" si="27"/>
        <v>85.460909090909112</v>
      </c>
      <c r="CF10" s="61">
        <f t="shared" si="27"/>
        <v>85.460909090909112</v>
      </c>
      <c r="CG10" s="61">
        <f t="shared" si="27"/>
        <v>85.460909090909112</v>
      </c>
      <c r="CH10" s="61">
        <f t="shared" si="27"/>
        <v>85.460909090909112</v>
      </c>
      <c r="CI10" s="61">
        <f t="shared" si="27"/>
        <v>85.460909090909112</v>
      </c>
      <c r="CJ10" s="61">
        <f t="shared" si="27"/>
        <v>85.460909090909112</v>
      </c>
      <c r="CK10" s="61">
        <f t="shared" si="27"/>
        <v>85.460909090909112</v>
      </c>
      <c r="CL10" s="61">
        <f t="shared" si="27"/>
        <v>85.460909090909112</v>
      </c>
      <c r="CM10" s="61">
        <f t="shared" si="27"/>
        <v>85.460909090909112</v>
      </c>
      <c r="CN10" s="61">
        <f t="shared" si="27"/>
        <v>85.460909090909112</v>
      </c>
      <c r="CO10" s="61">
        <f t="shared" si="27"/>
        <v>85.460909090909112</v>
      </c>
      <c r="CP10" s="61">
        <f t="shared" si="27"/>
        <v>85.460909090909112</v>
      </c>
      <c r="CR10" s="46" t="s">
        <v>54</v>
      </c>
      <c r="CS10" s="60">
        <v>1</v>
      </c>
      <c r="CT10" s="61">
        <f>K10</f>
        <v>85.460909090909112</v>
      </c>
      <c r="CU10" s="61">
        <f>CA10</f>
        <v>85.460909090909112</v>
      </c>
      <c r="CV10" s="61">
        <f>$CA$10</f>
        <v>85.460909090909112</v>
      </c>
      <c r="CW10" s="61">
        <f>$CA$10</f>
        <v>85.460909090909112</v>
      </c>
      <c r="CX10" s="61">
        <f>$CA$10</f>
        <v>85.460909090909112</v>
      </c>
      <c r="CY10" s="61">
        <f>$CA$10</f>
        <v>85.460909090909112</v>
      </c>
      <c r="CZ10" s="61">
        <f>$CA$10</f>
        <v>85.460909090909112</v>
      </c>
      <c r="DB10" s="46" t="s">
        <v>54</v>
      </c>
      <c r="DC10" s="60">
        <v>1</v>
      </c>
      <c r="DD10" s="61">
        <f t="shared" ref="DD10:DJ10" si="28">$CA$10</f>
        <v>85.460909090909112</v>
      </c>
      <c r="DE10" s="61">
        <f t="shared" si="28"/>
        <v>85.460909090909112</v>
      </c>
      <c r="DF10" s="61">
        <f t="shared" si="28"/>
        <v>85.460909090909112</v>
      </c>
      <c r="DG10" s="61">
        <f t="shared" si="28"/>
        <v>85.460909090909112</v>
      </c>
      <c r="DH10" s="61">
        <f t="shared" si="28"/>
        <v>85.460909090909112</v>
      </c>
      <c r="DI10" s="61">
        <f t="shared" si="28"/>
        <v>85.460909090909112</v>
      </c>
      <c r="DJ10" s="61">
        <f t="shared" si="28"/>
        <v>85.460909090909112</v>
      </c>
      <c r="DL10" s="46" t="s">
        <v>54</v>
      </c>
      <c r="DM10" s="60">
        <v>1</v>
      </c>
      <c r="DN10" s="61">
        <f>$CA$10</f>
        <v>85.460909090909112</v>
      </c>
    </row>
    <row r="11" spans="2:118" ht="27.75" customHeight="1">
      <c r="B11" s="309"/>
      <c r="C11" s="310"/>
      <c r="D11" s="311"/>
      <c r="E11" s="312"/>
      <c r="F11" s="312"/>
      <c r="H11" s="296"/>
      <c r="I11" s="46" t="s">
        <v>55</v>
      </c>
      <c r="J11" s="60">
        <v>1</v>
      </c>
      <c r="K11" s="105">
        <f>(361.63*$K$2)-0.01</f>
        <v>394.49545454545461</v>
      </c>
      <c r="L11" s="105">
        <f t="shared" si="12"/>
        <v>394.49545454545461</v>
      </c>
      <c r="M11" s="191"/>
      <c r="N11" s="46" t="s">
        <v>55</v>
      </c>
      <c r="O11" s="60"/>
      <c r="P11" s="61">
        <f>K11</f>
        <v>394.49545454545461</v>
      </c>
      <c r="Q11" s="61">
        <f>P11</f>
        <v>394.49545454545461</v>
      </c>
      <c r="R11" s="61">
        <f>Q11</f>
        <v>394.49545454545461</v>
      </c>
      <c r="S11" s="191"/>
      <c r="T11" s="46" t="s">
        <v>55</v>
      </c>
      <c r="U11" s="60">
        <v>1</v>
      </c>
      <c r="V11" s="61">
        <f>K11</f>
        <v>394.49545454545461</v>
      </c>
      <c r="W11" s="191"/>
      <c r="X11" s="46" t="s">
        <v>55</v>
      </c>
      <c r="Y11" s="60">
        <v>1</v>
      </c>
      <c r="Z11" s="61">
        <f>P11</f>
        <v>394.49545454545461</v>
      </c>
      <c r="AA11" s="61">
        <f t="shared" si="14"/>
        <v>394.49545454545461</v>
      </c>
      <c r="AB11" s="61">
        <f t="shared" si="15"/>
        <v>394.49545454545461</v>
      </c>
      <c r="AC11" s="61">
        <f t="shared" si="16"/>
        <v>394.49545454545461</v>
      </c>
      <c r="AD11" s="61">
        <f t="shared" si="17"/>
        <v>394.49545454545461</v>
      </c>
      <c r="AF11" s="46" t="s">
        <v>55</v>
      </c>
      <c r="AG11" s="60">
        <v>1</v>
      </c>
      <c r="AH11" s="61">
        <f>K11</f>
        <v>394.49545454545461</v>
      </c>
      <c r="AI11" s="61">
        <f t="shared" si="18"/>
        <v>394.49545454545461</v>
      </c>
      <c r="AJ11" s="61">
        <f t="shared" si="19"/>
        <v>394.49545454545461</v>
      </c>
      <c r="AK11" s="61">
        <f t="shared" si="20"/>
        <v>394.49545454545461</v>
      </c>
      <c r="AL11" s="61">
        <f t="shared" si="21"/>
        <v>394.49545454545461</v>
      </c>
      <c r="AN11" s="46" t="s">
        <v>55</v>
      </c>
      <c r="AO11" s="60">
        <v>1</v>
      </c>
      <c r="AP11" s="61">
        <f>K11</f>
        <v>394.49545454545461</v>
      </c>
      <c r="AQ11" s="61">
        <f t="shared" si="22"/>
        <v>394.49545454545461</v>
      </c>
      <c r="AR11" s="61">
        <f>AP11</f>
        <v>394.49545454545461</v>
      </c>
      <c r="AS11" s="165" t="s">
        <v>6</v>
      </c>
      <c r="AT11" s="61">
        <f>AP11</f>
        <v>394.49545454545461</v>
      </c>
      <c r="AU11" s="61">
        <f>AP11</f>
        <v>394.49545454545461</v>
      </c>
      <c r="AV11" s="61">
        <f>AP11</f>
        <v>394.49545454545461</v>
      </c>
      <c r="AW11" s="61">
        <f>AP11</f>
        <v>394.49545454545461</v>
      </c>
      <c r="AY11" s="46" t="s">
        <v>55</v>
      </c>
      <c r="AZ11" s="60">
        <v>1</v>
      </c>
      <c r="BA11" s="61">
        <f>K11</f>
        <v>394.49545454545461</v>
      </c>
      <c r="BB11" s="61">
        <f t="shared" si="23"/>
        <v>394.49545454545461</v>
      </c>
      <c r="BC11" s="61">
        <f t="shared" si="24"/>
        <v>394.49545454545461</v>
      </c>
      <c r="BD11" s="61">
        <f t="shared" si="25"/>
        <v>394.49545454545461</v>
      </c>
      <c r="BF11" s="46" t="s">
        <v>55</v>
      </c>
      <c r="BG11" s="60"/>
      <c r="BH11" s="165">
        <f>K11</f>
        <v>394.49545454545461</v>
      </c>
      <c r="BI11" s="165">
        <f>BH11</f>
        <v>394.49545454545461</v>
      </c>
      <c r="BK11" s="46" t="s">
        <v>55</v>
      </c>
      <c r="BL11" s="165"/>
      <c r="BM11" s="165" t="s">
        <v>6</v>
      </c>
      <c r="BN11" s="61">
        <f>K11</f>
        <v>394.49545454545461</v>
      </c>
      <c r="BO11" s="165" t="s">
        <v>6</v>
      </c>
      <c r="BP11" s="61">
        <f>BN11</f>
        <v>394.49545454545461</v>
      </c>
      <c r="BQ11" s="61">
        <f>BN11</f>
        <v>394.49545454545461</v>
      </c>
      <c r="BR11" s="61">
        <f t="shared" ref="BR11:BV11" si="29">BP11</f>
        <v>394.49545454545461</v>
      </c>
      <c r="BS11" s="61">
        <f t="shared" si="29"/>
        <v>394.49545454545461</v>
      </c>
      <c r="BT11" s="61">
        <f t="shared" si="29"/>
        <v>394.49545454545461</v>
      </c>
      <c r="BU11" s="61" t="s">
        <v>6</v>
      </c>
      <c r="BV11" s="61">
        <f t="shared" si="29"/>
        <v>394.49545454545461</v>
      </c>
      <c r="BW11" s="61">
        <f>BT11</f>
        <v>394.49545454545461</v>
      </c>
      <c r="BY11" s="46" t="s">
        <v>55</v>
      </c>
      <c r="BZ11" s="60">
        <v>1</v>
      </c>
      <c r="CA11" s="61">
        <f>K11</f>
        <v>394.49545454545461</v>
      </c>
      <c r="CB11" s="61">
        <f t="shared" ref="CB11:CP11" si="30">$CA$11</f>
        <v>394.49545454545461</v>
      </c>
      <c r="CC11" s="61">
        <f t="shared" si="30"/>
        <v>394.49545454545461</v>
      </c>
      <c r="CD11" s="61">
        <f t="shared" si="30"/>
        <v>394.49545454545461</v>
      </c>
      <c r="CE11" s="61">
        <f t="shared" si="30"/>
        <v>394.49545454545461</v>
      </c>
      <c r="CF11" s="61">
        <f t="shared" si="30"/>
        <v>394.49545454545461</v>
      </c>
      <c r="CG11" s="61">
        <f t="shared" si="30"/>
        <v>394.49545454545461</v>
      </c>
      <c r="CH11" s="61">
        <f t="shared" si="30"/>
        <v>394.49545454545461</v>
      </c>
      <c r="CI11" s="61">
        <f t="shared" si="30"/>
        <v>394.49545454545461</v>
      </c>
      <c r="CJ11" s="61">
        <f t="shared" si="30"/>
        <v>394.49545454545461</v>
      </c>
      <c r="CK11" s="61">
        <f t="shared" si="30"/>
        <v>394.49545454545461</v>
      </c>
      <c r="CL11" s="61">
        <f t="shared" si="30"/>
        <v>394.49545454545461</v>
      </c>
      <c r="CM11" s="61">
        <f t="shared" si="30"/>
        <v>394.49545454545461</v>
      </c>
      <c r="CN11" s="61">
        <f t="shared" si="30"/>
        <v>394.49545454545461</v>
      </c>
      <c r="CO11" s="61">
        <f t="shared" si="30"/>
        <v>394.49545454545461</v>
      </c>
      <c r="CP11" s="61">
        <f t="shared" si="30"/>
        <v>394.49545454545461</v>
      </c>
      <c r="CR11" s="46" t="s">
        <v>55</v>
      </c>
      <c r="CS11" s="60">
        <v>1</v>
      </c>
      <c r="CT11" s="61">
        <f>K11</f>
        <v>394.49545454545461</v>
      </c>
      <c r="CU11" s="61">
        <f>CA11</f>
        <v>394.49545454545461</v>
      </c>
      <c r="CV11" s="61">
        <f>$CA$11</f>
        <v>394.49545454545461</v>
      </c>
      <c r="CW11" s="61">
        <f>$CA$11</f>
        <v>394.49545454545461</v>
      </c>
      <c r="CX11" s="61">
        <f>$CA$11</f>
        <v>394.49545454545461</v>
      </c>
      <c r="CY11" s="61">
        <f>$CA$11</f>
        <v>394.49545454545461</v>
      </c>
      <c r="CZ11" s="61">
        <f>$CA$11</f>
        <v>394.49545454545461</v>
      </c>
      <c r="DB11" s="46" t="s">
        <v>55</v>
      </c>
      <c r="DC11" s="60">
        <v>1</v>
      </c>
      <c r="DD11" s="61">
        <f t="shared" ref="DD11:DJ11" si="31">$CA$11</f>
        <v>394.49545454545461</v>
      </c>
      <c r="DE11" s="61">
        <f t="shared" si="31"/>
        <v>394.49545454545461</v>
      </c>
      <c r="DF11" s="61">
        <f t="shared" si="31"/>
        <v>394.49545454545461</v>
      </c>
      <c r="DG11" s="61">
        <f t="shared" si="31"/>
        <v>394.49545454545461</v>
      </c>
      <c r="DH11" s="61">
        <f t="shared" si="31"/>
        <v>394.49545454545461</v>
      </c>
      <c r="DI11" s="61">
        <f t="shared" si="31"/>
        <v>394.49545454545461</v>
      </c>
      <c r="DJ11" s="61">
        <f t="shared" si="31"/>
        <v>394.49545454545461</v>
      </c>
      <c r="DL11" s="46" t="s">
        <v>55</v>
      </c>
      <c r="DM11" s="60">
        <v>1</v>
      </c>
      <c r="DN11" s="61">
        <f>$CA$11</f>
        <v>394.49545454545461</v>
      </c>
    </row>
    <row r="12" spans="2:118" ht="27.75" customHeight="1">
      <c r="B12" s="309"/>
      <c r="C12" s="310"/>
      <c r="D12" s="311"/>
      <c r="E12" s="312"/>
      <c r="F12" s="312"/>
      <c r="I12" s="46" t="s">
        <v>56</v>
      </c>
      <c r="J12" s="60">
        <v>1</v>
      </c>
      <c r="K12" s="105">
        <f>(176.28*$K$2)-0.01</f>
        <v>192.29545454545459</v>
      </c>
      <c r="L12" s="105">
        <f t="shared" si="12"/>
        <v>192.29545454545459</v>
      </c>
      <c r="M12" s="191"/>
      <c r="N12" s="46" t="s">
        <v>56</v>
      </c>
      <c r="O12" s="60">
        <v>1</v>
      </c>
      <c r="P12" s="61">
        <f>K12</f>
        <v>192.29545454545459</v>
      </c>
      <c r="Q12" s="61">
        <f>P12</f>
        <v>192.29545454545459</v>
      </c>
      <c r="R12" s="61">
        <f t="shared" ref="R12:R17" si="32">P12</f>
        <v>192.29545454545459</v>
      </c>
      <c r="S12" s="191"/>
      <c r="T12" s="46" t="s">
        <v>56</v>
      </c>
      <c r="U12" s="60">
        <v>1</v>
      </c>
      <c r="V12" s="61">
        <f>R12</f>
        <v>192.29545454545459</v>
      </c>
      <c r="W12" s="191"/>
      <c r="X12" s="46" t="s">
        <v>56</v>
      </c>
      <c r="Y12" s="60">
        <v>1</v>
      </c>
      <c r="Z12" s="61">
        <f>P12</f>
        <v>192.29545454545459</v>
      </c>
      <c r="AA12" s="61">
        <f t="shared" si="14"/>
        <v>192.29545454545459</v>
      </c>
      <c r="AB12" s="61">
        <f t="shared" si="15"/>
        <v>192.29545454545459</v>
      </c>
      <c r="AC12" s="61">
        <f t="shared" si="16"/>
        <v>192.29545454545459</v>
      </c>
      <c r="AD12" s="61">
        <f t="shared" si="17"/>
        <v>192.29545454545459</v>
      </c>
      <c r="AF12" s="46" t="s">
        <v>56</v>
      </c>
      <c r="AG12" s="60">
        <v>1</v>
      </c>
      <c r="AH12" s="61">
        <f>K12</f>
        <v>192.29545454545459</v>
      </c>
      <c r="AI12" s="61">
        <f t="shared" si="18"/>
        <v>192.29545454545459</v>
      </c>
      <c r="AJ12" s="61">
        <f t="shared" si="19"/>
        <v>192.29545454545459</v>
      </c>
      <c r="AK12" s="61">
        <f t="shared" si="20"/>
        <v>192.29545454545459</v>
      </c>
      <c r="AL12" s="61">
        <f t="shared" si="21"/>
        <v>192.29545454545459</v>
      </c>
      <c r="AN12" s="46" t="s">
        <v>56</v>
      </c>
      <c r="AO12" s="60">
        <v>1</v>
      </c>
      <c r="AP12" s="61">
        <f>K12</f>
        <v>192.29545454545459</v>
      </c>
      <c r="AQ12" s="61">
        <f t="shared" si="22"/>
        <v>192.29545454545459</v>
      </c>
      <c r="AR12" s="61">
        <f>AP12</f>
        <v>192.29545454545459</v>
      </c>
      <c r="AS12" s="165" t="s">
        <v>6</v>
      </c>
      <c r="AT12" s="61">
        <f>AP12</f>
        <v>192.29545454545459</v>
      </c>
      <c r="AU12" s="61">
        <f>AP12</f>
        <v>192.29545454545459</v>
      </c>
      <c r="AV12" s="61">
        <f>AP12</f>
        <v>192.29545454545459</v>
      </c>
      <c r="AW12" s="61">
        <f>AP12</f>
        <v>192.29545454545459</v>
      </c>
      <c r="AY12" s="46" t="s">
        <v>56</v>
      </c>
      <c r="AZ12" s="60">
        <v>1</v>
      </c>
      <c r="BA12" s="61">
        <f>K12</f>
        <v>192.29545454545459</v>
      </c>
      <c r="BB12" s="61">
        <f t="shared" si="23"/>
        <v>192.29545454545459</v>
      </c>
      <c r="BC12" s="61">
        <f t="shared" si="24"/>
        <v>192.29545454545459</v>
      </c>
      <c r="BD12" s="61">
        <f t="shared" si="25"/>
        <v>192.29545454545459</v>
      </c>
      <c r="BF12" s="46" t="s">
        <v>56</v>
      </c>
      <c r="BG12" s="60">
        <v>1</v>
      </c>
      <c r="BH12" s="61">
        <f>K12</f>
        <v>192.29545454545459</v>
      </c>
      <c r="BI12" s="61">
        <f>BH12</f>
        <v>192.29545454545459</v>
      </c>
      <c r="BK12" s="46" t="s">
        <v>56</v>
      </c>
      <c r="BL12" s="60">
        <v>1</v>
      </c>
      <c r="BM12" s="165" t="s">
        <v>6</v>
      </c>
      <c r="BN12" s="61">
        <f>K12</f>
        <v>192.29545454545459</v>
      </c>
      <c r="BO12" s="165" t="s">
        <v>6</v>
      </c>
      <c r="BP12" s="61">
        <f>BN12</f>
        <v>192.29545454545459</v>
      </c>
      <c r="BQ12" s="61">
        <f>BN12</f>
        <v>192.29545454545459</v>
      </c>
      <c r="BR12" s="61">
        <f>BN12</f>
        <v>192.29545454545459</v>
      </c>
      <c r="BS12" s="61">
        <f>BN12</f>
        <v>192.29545454545459</v>
      </c>
      <c r="BT12" s="61">
        <f>BN12</f>
        <v>192.29545454545459</v>
      </c>
      <c r="BU12" s="61" t="s">
        <v>6</v>
      </c>
      <c r="BV12" s="61">
        <f>BN12</f>
        <v>192.29545454545459</v>
      </c>
      <c r="BW12" s="61">
        <f>BN12</f>
        <v>192.29545454545459</v>
      </c>
      <c r="BY12" s="46" t="s">
        <v>56</v>
      </c>
      <c r="BZ12" s="60">
        <v>1</v>
      </c>
      <c r="CA12" s="61">
        <f>K12</f>
        <v>192.29545454545459</v>
      </c>
      <c r="CB12" s="61">
        <f t="shared" ref="CB12:CP12" si="33">$CA$12</f>
        <v>192.29545454545459</v>
      </c>
      <c r="CC12" s="61">
        <f t="shared" si="33"/>
        <v>192.29545454545459</v>
      </c>
      <c r="CD12" s="61">
        <f t="shared" si="33"/>
        <v>192.29545454545459</v>
      </c>
      <c r="CE12" s="61">
        <f t="shared" si="33"/>
        <v>192.29545454545459</v>
      </c>
      <c r="CF12" s="61">
        <f t="shared" si="33"/>
        <v>192.29545454545459</v>
      </c>
      <c r="CG12" s="61">
        <f t="shared" si="33"/>
        <v>192.29545454545459</v>
      </c>
      <c r="CH12" s="61">
        <f t="shared" si="33"/>
        <v>192.29545454545459</v>
      </c>
      <c r="CI12" s="61">
        <f t="shared" si="33"/>
        <v>192.29545454545459</v>
      </c>
      <c r="CJ12" s="61">
        <f t="shared" si="33"/>
        <v>192.29545454545459</v>
      </c>
      <c r="CK12" s="61">
        <f t="shared" si="33"/>
        <v>192.29545454545459</v>
      </c>
      <c r="CL12" s="61">
        <f t="shared" si="33"/>
        <v>192.29545454545459</v>
      </c>
      <c r="CM12" s="61">
        <f t="shared" si="33"/>
        <v>192.29545454545459</v>
      </c>
      <c r="CN12" s="61">
        <f t="shared" si="33"/>
        <v>192.29545454545459</v>
      </c>
      <c r="CO12" s="61">
        <f t="shared" si="33"/>
        <v>192.29545454545459</v>
      </c>
      <c r="CP12" s="61">
        <f t="shared" si="33"/>
        <v>192.29545454545459</v>
      </c>
      <c r="CR12" s="46" t="s">
        <v>56</v>
      </c>
      <c r="CS12" s="60">
        <v>1</v>
      </c>
      <c r="CT12" s="61">
        <f>K12</f>
        <v>192.29545454545459</v>
      </c>
      <c r="CU12" s="61">
        <f>CA12</f>
        <v>192.29545454545459</v>
      </c>
      <c r="CV12" s="61">
        <f>$CA$12</f>
        <v>192.29545454545459</v>
      </c>
      <c r="CW12" s="61">
        <f>$CA$12</f>
        <v>192.29545454545459</v>
      </c>
      <c r="CX12" s="61">
        <f>$CA$12</f>
        <v>192.29545454545459</v>
      </c>
      <c r="CY12" s="61">
        <f>$CA$12</f>
        <v>192.29545454545459</v>
      </c>
      <c r="CZ12" s="61">
        <f>$CA$12</f>
        <v>192.29545454545459</v>
      </c>
      <c r="DB12" s="46" t="s">
        <v>56</v>
      </c>
      <c r="DC12" s="60">
        <v>1</v>
      </c>
      <c r="DD12" s="61">
        <f t="shared" ref="DD12:DJ12" si="34">$CA$12</f>
        <v>192.29545454545459</v>
      </c>
      <c r="DE12" s="61">
        <f t="shared" si="34"/>
        <v>192.29545454545459</v>
      </c>
      <c r="DF12" s="61">
        <f t="shared" si="34"/>
        <v>192.29545454545459</v>
      </c>
      <c r="DG12" s="61">
        <f t="shared" si="34"/>
        <v>192.29545454545459</v>
      </c>
      <c r="DH12" s="61">
        <f t="shared" si="34"/>
        <v>192.29545454545459</v>
      </c>
      <c r="DI12" s="61">
        <f t="shared" si="34"/>
        <v>192.29545454545459</v>
      </c>
      <c r="DJ12" s="61">
        <f t="shared" si="34"/>
        <v>192.29545454545459</v>
      </c>
      <c r="DL12" s="46" t="s">
        <v>56</v>
      </c>
      <c r="DM12" s="60">
        <v>1</v>
      </c>
      <c r="DN12" s="61">
        <f>$CA$12</f>
        <v>192.29545454545459</v>
      </c>
    </row>
    <row r="13" spans="2:118" ht="27.75" customHeight="1">
      <c r="B13" s="309"/>
      <c r="C13" s="310"/>
      <c r="D13" s="311"/>
      <c r="E13" s="312"/>
      <c r="F13" s="312"/>
      <c r="I13" s="46" t="s">
        <v>57</v>
      </c>
      <c r="J13" s="62">
        <v>1</v>
      </c>
      <c r="K13" s="106">
        <f>408.04*$K$2+0.01</f>
        <v>445.14454545454555</v>
      </c>
      <c r="L13" s="105">
        <f t="shared" si="12"/>
        <v>445.14454545454555</v>
      </c>
      <c r="M13" s="191"/>
      <c r="N13" s="46" t="s">
        <v>57</v>
      </c>
      <c r="O13" s="60">
        <v>1</v>
      </c>
      <c r="P13" s="61">
        <f>408.04*$K$2+0.01</f>
        <v>445.14454545454555</v>
      </c>
      <c r="Q13" s="61">
        <f>P13</f>
        <v>445.14454545454555</v>
      </c>
      <c r="R13" s="61">
        <f t="shared" si="32"/>
        <v>445.14454545454555</v>
      </c>
      <c r="S13" s="191"/>
      <c r="T13" s="46" t="s">
        <v>57</v>
      </c>
      <c r="U13" s="60">
        <v>1</v>
      </c>
      <c r="V13" s="61">
        <f>408.04*$K$2+0.01</f>
        <v>445.14454545454555</v>
      </c>
      <c r="W13" s="191"/>
      <c r="X13" s="46" t="s">
        <v>57</v>
      </c>
      <c r="Y13" s="60">
        <v>1</v>
      </c>
      <c r="Z13" s="61">
        <f>P13</f>
        <v>445.14454545454555</v>
      </c>
      <c r="AA13" s="61">
        <f t="shared" si="14"/>
        <v>445.14454545454555</v>
      </c>
      <c r="AB13" s="61">
        <f t="shared" si="15"/>
        <v>445.14454545454555</v>
      </c>
      <c r="AC13" s="61">
        <f t="shared" si="16"/>
        <v>445.14454545454555</v>
      </c>
      <c r="AD13" s="61">
        <f t="shared" si="17"/>
        <v>445.14454545454555</v>
      </c>
      <c r="AF13" s="46" t="s">
        <v>57</v>
      </c>
      <c r="AG13" s="60">
        <v>1</v>
      </c>
      <c r="AH13" s="61">
        <f>K13</f>
        <v>445.14454545454555</v>
      </c>
      <c r="AI13" s="61">
        <f t="shared" si="18"/>
        <v>445.14454545454555</v>
      </c>
      <c r="AJ13" s="61">
        <f t="shared" si="19"/>
        <v>445.14454545454555</v>
      </c>
      <c r="AK13" s="61">
        <f t="shared" si="20"/>
        <v>445.14454545454555</v>
      </c>
      <c r="AL13" s="61">
        <f t="shared" si="21"/>
        <v>445.14454545454555</v>
      </c>
      <c r="AN13" s="46" t="s">
        <v>57</v>
      </c>
      <c r="AO13" s="60">
        <v>1</v>
      </c>
      <c r="AP13" s="61">
        <f>K13</f>
        <v>445.14454545454555</v>
      </c>
      <c r="AQ13" s="61">
        <f t="shared" si="22"/>
        <v>445.14454545454555</v>
      </c>
      <c r="AR13" s="61">
        <f>AP13</f>
        <v>445.14454545454555</v>
      </c>
      <c r="AS13" s="165" t="s">
        <v>6</v>
      </c>
      <c r="AT13" s="61">
        <f>AP13</f>
        <v>445.14454545454555</v>
      </c>
      <c r="AU13" s="61">
        <f>AP13</f>
        <v>445.14454545454555</v>
      </c>
      <c r="AV13" s="61">
        <f>AP13</f>
        <v>445.14454545454555</v>
      </c>
      <c r="AW13" s="61">
        <f>AP13</f>
        <v>445.14454545454555</v>
      </c>
      <c r="AY13" s="46" t="s">
        <v>57</v>
      </c>
      <c r="AZ13" s="60">
        <v>1</v>
      </c>
      <c r="BA13" s="61">
        <f>K13</f>
        <v>445.14454545454555</v>
      </c>
      <c r="BB13" s="61">
        <f t="shared" si="23"/>
        <v>445.14454545454555</v>
      </c>
      <c r="BC13" s="61">
        <f t="shared" si="24"/>
        <v>445.14454545454555</v>
      </c>
      <c r="BD13" s="61">
        <f t="shared" si="25"/>
        <v>445.14454545454555</v>
      </c>
      <c r="BF13" s="46" t="s">
        <v>57</v>
      </c>
      <c r="BG13" s="60">
        <v>1</v>
      </c>
      <c r="BH13" s="61">
        <f>K13</f>
        <v>445.14454545454555</v>
      </c>
      <c r="BI13" s="61">
        <f>BH13</f>
        <v>445.14454545454555</v>
      </c>
      <c r="BK13" s="46" t="s">
        <v>57</v>
      </c>
      <c r="BL13" s="60">
        <v>1</v>
      </c>
      <c r="BM13" s="165" t="s">
        <v>6</v>
      </c>
      <c r="BN13" s="61">
        <f>K13</f>
        <v>445.14454545454555</v>
      </c>
      <c r="BO13" s="165" t="s">
        <v>6</v>
      </c>
      <c r="BP13" s="61">
        <f>BN13</f>
        <v>445.14454545454555</v>
      </c>
      <c r="BQ13" s="61">
        <f>BN13</f>
        <v>445.14454545454555</v>
      </c>
      <c r="BR13" s="61">
        <f>BN13</f>
        <v>445.14454545454555</v>
      </c>
      <c r="BS13" s="61">
        <f>BN13</f>
        <v>445.14454545454555</v>
      </c>
      <c r="BT13" s="61">
        <f>BN13</f>
        <v>445.14454545454555</v>
      </c>
      <c r="BU13" s="61" t="s">
        <v>6</v>
      </c>
      <c r="BV13" s="61">
        <f>BN13</f>
        <v>445.14454545454555</v>
      </c>
      <c r="BW13" s="61">
        <f>BN13</f>
        <v>445.14454545454555</v>
      </c>
      <c r="BY13" s="46" t="s">
        <v>57</v>
      </c>
      <c r="BZ13" s="60">
        <v>1</v>
      </c>
      <c r="CA13" s="61">
        <f>K13</f>
        <v>445.14454545454555</v>
      </c>
      <c r="CB13" s="61">
        <f t="shared" ref="CB13:CP13" si="35">$CA$13</f>
        <v>445.14454545454555</v>
      </c>
      <c r="CC13" s="61">
        <f t="shared" si="35"/>
        <v>445.14454545454555</v>
      </c>
      <c r="CD13" s="61">
        <f t="shared" si="35"/>
        <v>445.14454545454555</v>
      </c>
      <c r="CE13" s="61">
        <f t="shared" si="35"/>
        <v>445.14454545454555</v>
      </c>
      <c r="CF13" s="61">
        <f t="shared" si="35"/>
        <v>445.14454545454555</v>
      </c>
      <c r="CG13" s="61">
        <f t="shared" si="35"/>
        <v>445.14454545454555</v>
      </c>
      <c r="CH13" s="61">
        <f t="shared" si="35"/>
        <v>445.14454545454555</v>
      </c>
      <c r="CI13" s="61">
        <f t="shared" si="35"/>
        <v>445.14454545454555</v>
      </c>
      <c r="CJ13" s="61">
        <f t="shared" si="35"/>
        <v>445.14454545454555</v>
      </c>
      <c r="CK13" s="61">
        <f t="shared" si="35"/>
        <v>445.14454545454555</v>
      </c>
      <c r="CL13" s="61">
        <f t="shared" si="35"/>
        <v>445.14454545454555</v>
      </c>
      <c r="CM13" s="61">
        <f t="shared" si="35"/>
        <v>445.14454545454555</v>
      </c>
      <c r="CN13" s="61">
        <f t="shared" si="35"/>
        <v>445.14454545454555</v>
      </c>
      <c r="CO13" s="61">
        <f t="shared" si="35"/>
        <v>445.14454545454555</v>
      </c>
      <c r="CP13" s="61">
        <f t="shared" si="35"/>
        <v>445.14454545454555</v>
      </c>
      <c r="CR13" s="46" t="s">
        <v>57</v>
      </c>
      <c r="CS13" s="60">
        <v>1</v>
      </c>
      <c r="CT13" s="61">
        <f>K13</f>
        <v>445.14454545454555</v>
      </c>
      <c r="CU13" s="61">
        <f>CA13</f>
        <v>445.14454545454555</v>
      </c>
      <c r="CV13" s="61">
        <f>$CA$13</f>
        <v>445.14454545454555</v>
      </c>
      <c r="CW13" s="61">
        <f>$CA$13</f>
        <v>445.14454545454555</v>
      </c>
      <c r="CX13" s="61">
        <f>$CA$13</f>
        <v>445.14454545454555</v>
      </c>
      <c r="CY13" s="61">
        <f>$CA$13</f>
        <v>445.14454545454555</v>
      </c>
      <c r="CZ13" s="61">
        <f>$CA$13</f>
        <v>445.14454545454555</v>
      </c>
      <c r="DB13" s="46" t="s">
        <v>57</v>
      </c>
      <c r="DC13" s="60">
        <v>1</v>
      </c>
      <c r="DD13" s="61">
        <f t="shared" ref="DD13:DJ13" si="36">$CA$13</f>
        <v>445.14454545454555</v>
      </c>
      <c r="DE13" s="61">
        <f t="shared" si="36"/>
        <v>445.14454545454555</v>
      </c>
      <c r="DF13" s="61">
        <f t="shared" si="36"/>
        <v>445.14454545454555</v>
      </c>
      <c r="DG13" s="61">
        <f t="shared" si="36"/>
        <v>445.14454545454555</v>
      </c>
      <c r="DH13" s="61">
        <f t="shared" si="36"/>
        <v>445.14454545454555</v>
      </c>
      <c r="DI13" s="61">
        <f t="shared" si="36"/>
        <v>445.14454545454555</v>
      </c>
      <c r="DJ13" s="61">
        <f t="shared" si="36"/>
        <v>445.14454545454555</v>
      </c>
      <c r="DL13" s="46" t="s">
        <v>57</v>
      </c>
      <c r="DM13" s="60">
        <v>1</v>
      </c>
      <c r="DN13" s="61">
        <f>$CA$13</f>
        <v>445.14454545454555</v>
      </c>
    </row>
    <row r="14" spans="2:118" ht="24" customHeight="1">
      <c r="B14" s="309"/>
      <c r="C14" s="310"/>
      <c r="D14" s="311"/>
      <c r="E14" s="312"/>
      <c r="F14" s="312"/>
      <c r="I14" s="47"/>
      <c r="J14" s="48"/>
      <c r="K14" s="107"/>
      <c r="L14" s="108"/>
      <c r="M14" s="191"/>
      <c r="N14" s="47" t="s">
        <v>2</v>
      </c>
      <c r="O14" s="48">
        <v>1</v>
      </c>
      <c r="P14" s="49">
        <v>384</v>
      </c>
      <c r="Q14" s="50"/>
      <c r="R14" s="50">
        <f t="shared" si="32"/>
        <v>384</v>
      </c>
      <c r="S14" s="191"/>
      <c r="T14" s="47"/>
      <c r="U14" s="48"/>
      <c r="V14" s="50"/>
      <c r="W14" s="191"/>
      <c r="X14" s="47"/>
      <c r="Y14" s="48"/>
      <c r="Z14" s="49"/>
      <c r="AA14" s="49"/>
      <c r="AB14" s="49"/>
      <c r="AC14" s="49"/>
      <c r="AD14" s="50"/>
      <c r="AF14" s="47"/>
      <c r="AG14" s="48"/>
      <c r="AH14" s="49"/>
      <c r="AI14" s="49"/>
      <c r="AJ14" s="49"/>
      <c r="AK14" s="49"/>
      <c r="AL14" s="50"/>
      <c r="AN14" s="47"/>
      <c r="AO14" s="48"/>
      <c r="AP14" s="49"/>
      <c r="AQ14" s="49"/>
      <c r="AR14" s="49"/>
      <c r="AS14" s="166"/>
      <c r="AT14" s="49"/>
      <c r="AU14" s="49"/>
      <c r="AV14" s="49"/>
      <c r="AW14" s="50"/>
      <c r="AY14" s="47"/>
      <c r="AZ14" s="48"/>
      <c r="BA14" s="49"/>
      <c r="BB14" s="49"/>
      <c r="BC14" s="49"/>
      <c r="BD14" s="50"/>
      <c r="BF14" s="47"/>
      <c r="BG14" s="48"/>
      <c r="BH14" s="49"/>
      <c r="BI14" s="50"/>
      <c r="BK14" s="47" t="s">
        <v>2</v>
      </c>
      <c r="BL14" s="48">
        <v>1</v>
      </c>
      <c r="BM14" s="49">
        <v>8872.5</v>
      </c>
      <c r="BN14" s="49" t="s">
        <v>6</v>
      </c>
      <c r="BO14" s="166" t="s">
        <v>6</v>
      </c>
      <c r="BP14" s="49">
        <v>1345</v>
      </c>
      <c r="BQ14" s="49">
        <v>1033</v>
      </c>
      <c r="BR14" s="49">
        <v>1573</v>
      </c>
      <c r="BS14" s="49" t="s">
        <v>6</v>
      </c>
      <c r="BT14" s="49" t="s">
        <v>6</v>
      </c>
      <c r="BU14" s="49" t="s">
        <v>6</v>
      </c>
      <c r="BV14" s="49" t="s">
        <v>6</v>
      </c>
      <c r="BW14" s="50" t="s">
        <v>6</v>
      </c>
      <c r="BY14" s="47" t="s">
        <v>2</v>
      </c>
      <c r="BZ14" s="48">
        <v>1</v>
      </c>
      <c r="CA14" s="49">
        <f>(2876*$K$2*105.6/106.8)+34.99</f>
        <v>3137.1922471910111</v>
      </c>
      <c r="CB14" s="49">
        <f t="shared" ref="CB14:CP14" si="37">$CA$14</f>
        <v>3137.1922471910111</v>
      </c>
      <c r="CC14" s="49">
        <f t="shared" si="37"/>
        <v>3137.1922471910111</v>
      </c>
      <c r="CD14" s="49">
        <f t="shared" si="37"/>
        <v>3137.1922471910111</v>
      </c>
      <c r="CE14" s="49">
        <f t="shared" si="37"/>
        <v>3137.1922471910111</v>
      </c>
      <c r="CF14" s="49">
        <f t="shared" si="37"/>
        <v>3137.1922471910111</v>
      </c>
      <c r="CG14" s="49">
        <f t="shared" si="37"/>
        <v>3137.1922471910111</v>
      </c>
      <c r="CH14" s="49">
        <f t="shared" si="37"/>
        <v>3137.1922471910111</v>
      </c>
      <c r="CI14" s="49">
        <f t="shared" si="37"/>
        <v>3137.1922471910111</v>
      </c>
      <c r="CJ14" s="49">
        <f t="shared" si="37"/>
        <v>3137.1922471910111</v>
      </c>
      <c r="CK14" s="49">
        <f t="shared" si="37"/>
        <v>3137.1922471910111</v>
      </c>
      <c r="CL14" s="49">
        <f t="shared" si="37"/>
        <v>3137.1922471910111</v>
      </c>
      <c r="CM14" s="49">
        <f t="shared" si="37"/>
        <v>3137.1922471910111</v>
      </c>
      <c r="CN14" s="49">
        <f t="shared" si="37"/>
        <v>3137.1922471910111</v>
      </c>
      <c r="CO14" s="49">
        <f t="shared" si="37"/>
        <v>3137.1922471910111</v>
      </c>
      <c r="CP14" s="50">
        <f t="shared" si="37"/>
        <v>3137.1922471910111</v>
      </c>
      <c r="CR14" s="47" t="s">
        <v>2</v>
      </c>
      <c r="CS14" s="48">
        <v>1</v>
      </c>
      <c r="CT14" s="49">
        <f>(3154*$K$2*105.6/106.8)+1.08</f>
        <v>3403.1474157303369</v>
      </c>
      <c r="CU14" s="49">
        <f t="shared" ref="CU14:CU20" si="38">CT14</f>
        <v>3403.1474157303369</v>
      </c>
      <c r="CV14" s="49">
        <f t="shared" ref="CV14:CZ14" si="39">CU14</f>
        <v>3403.1474157303369</v>
      </c>
      <c r="CW14" s="49">
        <f t="shared" si="39"/>
        <v>3403.1474157303369</v>
      </c>
      <c r="CX14" s="49">
        <f t="shared" si="39"/>
        <v>3403.1474157303369</v>
      </c>
      <c r="CY14" s="49">
        <f t="shared" si="39"/>
        <v>3403.1474157303369</v>
      </c>
      <c r="CZ14" s="50">
        <f t="shared" si="39"/>
        <v>3403.1474157303369</v>
      </c>
      <c r="DB14" s="47" t="s">
        <v>2</v>
      </c>
      <c r="DC14" s="48">
        <v>1</v>
      </c>
      <c r="DD14" s="49">
        <f>(3376*K2*105.6/106.8)-0.04</f>
        <v>3641.4880898876409</v>
      </c>
      <c r="DE14" s="49">
        <f>DD14</f>
        <v>3641.4880898876409</v>
      </c>
      <c r="DF14" s="49">
        <f t="shared" ref="DF14:DJ14" si="40">DE14</f>
        <v>3641.4880898876409</v>
      </c>
      <c r="DG14" s="49">
        <f t="shared" si="40"/>
        <v>3641.4880898876409</v>
      </c>
      <c r="DH14" s="49">
        <f t="shared" si="40"/>
        <v>3641.4880898876409</v>
      </c>
      <c r="DI14" s="49">
        <f t="shared" si="40"/>
        <v>3641.4880898876409</v>
      </c>
      <c r="DJ14" s="50">
        <f t="shared" si="40"/>
        <v>3641.4880898876409</v>
      </c>
      <c r="DL14" s="47" t="s">
        <v>2</v>
      </c>
      <c r="DM14" s="48">
        <v>1</v>
      </c>
      <c r="DN14" s="50">
        <f>(3154*$K$2*105.6/106.8)+39.45</f>
        <v>3441.5174157303368</v>
      </c>
    </row>
    <row r="15" spans="2:118" ht="24" customHeight="1">
      <c r="B15" s="309"/>
      <c r="C15" s="310"/>
      <c r="D15" s="311"/>
      <c r="E15" s="312"/>
      <c r="F15" s="312"/>
      <c r="I15" s="47" t="s">
        <v>3</v>
      </c>
      <c r="J15" s="48">
        <v>1</v>
      </c>
      <c r="K15" s="107">
        <f>(3970.09*$K$2)+0.3</f>
        <v>4331.3072727272738</v>
      </c>
      <c r="L15" s="108">
        <f>K15</f>
        <v>4331.3072727272738</v>
      </c>
      <c r="M15" s="191"/>
      <c r="N15" s="47" t="s">
        <v>3</v>
      </c>
      <c r="O15" s="48">
        <v>1</v>
      </c>
      <c r="P15" s="49">
        <f>2407.65*$K$2-0.01</f>
        <v>2626.5172727272729</v>
      </c>
      <c r="Q15" s="50">
        <f>2967.38*$K$2-0.01</f>
        <v>3237.1318181818183</v>
      </c>
      <c r="R15" s="50">
        <f t="shared" si="32"/>
        <v>2626.5172727272729</v>
      </c>
      <c r="S15" s="191"/>
      <c r="T15" s="47" t="s">
        <v>3</v>
      </c>
      <c r="U15" s="48">
        <v>1</v>
      </c>
      <c r="V15" s="50">
        <f>(3778.79*$K$2)-0.01</f>
        <v>4122.306363636364</v>
      </c>
      <c r="W15" s="191"/>
      <c r="X15" s="47" t="s">
        <v>3</v>
      </c>
      <c r="Y15" s="48">
        <v>1</v>
      </c>
      <c r="Z15" s="49">
        <f>(4599.6*$K$2)</f>
        <v>5017.7454545454557</v>
      </c>
      <c r="AA15" s="49">
        <f>Z15</f>
        <v>5017.7454545454557</v>
      </c>
      <c r="AB15" s="49">
        <f>Z15</f>
        <v>5017.7454545454557</v>
      </c>
      <c r="AC15" s="49">
        <f>Z15</f>
        <v>5017.7454545454557</v>
      </c>
      <c r="AD15" s="50">
        <f>Z15</f>
        <v>5017.7454545454557</v>
      </c>
      <c r="AF15" s="47" t="s">
        <v>3</v>
      </c>
      <c r="AG15" s="48">
        <v>1</v>
      </c>
      <c r="AH15" s="49">
        <f>4319.09*$K$2-0.01</f>
        <v>4711.7245454545464</v>
      </c>
      <c r="AI15" s="49">
        <f>AH15</f>
        <v>4711.7245454545464</v>
      </c>
      <c r="AJ15" s="49">
        <f>AH15</f>
        <v>4711.7245454545464</v>
      </c>
      <c r="AK15" s="49">
        <f>AH15</f>
        <v>4711.7245454545464</v>
      </c>
      <c r="AL15" s="50">
        <f>AH15</f>
        <v>4711.7245454545464</v>
      </c>
      <c r="AN15" s="47" t="s">
        <v>3</v>
      </c>
      <c r="AO15" s="48">
        <v>1</v>
      </c>
      <c r="AP15" s="49">
        <f>(4144.02*$K$2)-0.01</f>
        <v>4520.7390909090918</v>
      </c>
      <c r="AQ15" s="49">
        <f>AP15</f>
        <v>4520.7390909090918</v>
      </c>
      <c r="AR15" s="49">
        <f>AP15</f>
        <v>4520.7390909090918</v>
      </c>
      <c r="AS15" s="166" t="s">
        <v>6</v>
      </c>
      <c r="AT15" s="49">
        <f>AP15</f>
        <v>4520.7390909090918</v>
      </c>
      <c r="AU15" s="49">
        <f>AP15</f>
        <v>4520.7390909090918</v>
      </c>
      <c r="AV15" s="49">
        <f>AP15</f>
        <v>4520.7390909090918</v>
      </c>
      <c r="AW15" s="50">
        <f>AP15</f>
        <v>4520.7390909090918</v>
      </c>
      <c r="AY15" s="47" t="s">
        <v>3</v>
      </c>
      <c r="AZ15" s="48">
        <v>1</v>
      </c>
      <c r="BA15" s="49">
        <f>(3970.09*$K$2)+0.04</f>
        <v>4331.0472727272736</v>
      </c>
      <c r="BB15" s="49">
        <f>BA15</f>
        <v>4331.0472727272736</v>
      </c>
      <c r="BC15" s="49">
        <f>BA15</f>
        <v>4331.0472727272736</v>
      </c>
      <c r="BD15" s="50">
        <f>BA15</f>
        <v>4331.0472727272736</v>
      </c>
      <c r="BF15" s="47" t="s">
        <v>3</v>
      </c>
      <c r="BG15" s="48">
        <v>1</v>
      </c>
      <c r="BH15" s="49">
        <f>4394.68*$K$2</f>
        <v>4794.1963636363644</v>
      </c>
      <c r="BI15" s="50">
        <f>BH15</f>
        <v>4794.1963636363644</v>
      </c>
      <c r="BK15" s="47" t="s">
        <v>3</v>
      </c>
      <c r="BL15" s="48">
        <v>1</v>
      </c>
      <c r="BM15" s="166" t="s">
        <v>6</v>
      </c>
      <c r="BN15" s="49">
        <f>2083.41*$K$2-0.03</f>
        <v>2272.7809090909091</v>
      </c>
      <c r="BO15" s="166" t="s">
        <v>6</v>
      </c>
      <c r="BP15" s="49">
        <f>1837.56*$K$2</f>
        <v>2004.6109090909092</v>
      </c>
      <c r="BQ15" s="49">
        <f>932.81*$K$2</f>
        <v>1017.6109090909092</v>
      </c>
      <c r="BR15" s="49">
        <f>(2669.23*$K$2)</f>
        <v>2911.8872727272733</v>
      </c>
      <c r="BS15" s="49">
        <f>BW15</f>
        <v>3503.4445454545457</v>
      </c>
      <c r="BT15" s="49">
        <f>BS15</f>
        <v>3503.4445454545457</v>
      </c>
      <c r="BU15" s="49" t="s">
        <v>6</v>
      </c>
      <c r="BV15" s="49">
        <f>BS15</f>
        <v>3503.4445454545457</v>
      </c>
      <c r="BW15" s="50">
        <f>(3211.5*$K$2)-0.01</f>
        <v>3503.4445454545457</v>
      </c>
      <c r="BY15" s="47" t="s">
        <v>3</v>
      </c>
      <c r="BZ15" s="48">
        <v>1</v>
      </c>
      <c r="CA15" s="49">
        <f>(4696*$K$2*105.6/106.8)-0.01</f>
        <v>5065.3383146067417</v>
      </c>
      <c r="CB15" s="49">
        <f t="shared" ref="CB15:CP15" si="41">$CA$15</f>
        <v>5065.3383146067417</v>
      </c>
      <c r="CC15" s="49">
        <f t="shared" si="41"/>
        <v>5065.3383146067417</v>
      </c>
      <c r="CD15" s="49">
        <f t="shared" si="41"/>
        <v>5065.3383146067417</v>
      </c>
      <c r="CE15" s="49">
        <f t="shared" si="41"/>
        <v>5065.3383146067417</v>
      </c>
      <c r="CF15" s="49">
        <f t="shared" si="41"/>
        <v>5065.3383146067417</v>
      </c>
      <c r="CG15" s="49">
        <f t="shared" si="41"/>
        <v>5065.3383146067417</v>
      </c>
      <c r="CH15" s="49">
        <f t="shared" si="41"/>
        <v>5065.3383146067417</v>
      </c>
      <c r="CI15" s="49">
        <f t="shared" si="41"/>
        <v>5065.3383146067417</v>
      </c>
      <c r="CJ15" s="49">
        <f t="shared" si="41"/>
        <v>5065.3383146067417</v>
      </c>
      <c r="CK15" s="49">
        <f t="shared" si="41"/>
        <v>5065.3383146067417</v>
      </c>
      <c r="CL15" s="49">
        <f t="shared" si="41"/>
        <v>5065.3383146067417</v>
      </c>
      <c r="CM15" s="49">
        <f t="shared" si="41"/>
        <v>5065.3383146067417</v>
      </c>
      <c r="CN15" s="49">
        <f t="shared" si="41"/>
        <v>5065.3383146067417</v>
      </c>
      <c r="CO15" s="49">
        <f t="shared" si="41"/>
        <v>5065.3383146067417</v>
      </c>
      <c r="CP15" s="50">
        <f t="shared" si="41"/>
        <v>5065.3383146067417</v>
      </c>
      <c r="CR15" s="47" t="s">
        <v>3</v>
      </c>
      <c r="CS15" s="48">
        <v>1</v>
      </c>
      <c r="CT15" s="49">
        <f>(3956*$K$2*105.6/106.8)</f>
        <v>4267.1460674157306</v>
      </c>
      <c r="CU15" s="49">
        <f t="shared" si="38"/>
        <v>4267.1460674157306</v>
      </c>
      <c r="CV15" s="49">
        <f t="shared" ref="CV15:CZ15" si="42">CU15</f>
        <v>4267.1460674157306</v>
      </c>
      <c r="CW15" s="49">
        <f t="shared" si="42"/>
        <v>4267.1460674157306</v>
      </c>
      <c r="CX15" s="49">
        <f t="shared" si="42"/>
        <v>4267.1460674157306</v>
      </c>
      <c r="CY15" s="49">
        <f t="shared" si="42"/>
        <v>4267.1460674157306</v>
      </c>
      <c r="CZ15" s="50">
        <f t="shared" si="42"/>
        <v>4267.1460674157306</v>
      </c>
      <c r="DB15" s="47" t="s">
        <v>3</v>
      </c>
      <c r="DC15" s="48">
        <v>1</v>
      </c>
      <c r="DD15" s="49">
        <f>(4733*K2*105.6/106.8)+1.08</f>
        <v>5106.3384269662929</v>
      </c>
      <c r="DE15" s="49">
        <f>DD15</f>
        <v>5106.3384269662929</v>
      </c>
      <c r="DF15" s="49">
        <f t="shared" ref="DF15:DJ15" si="43">DE15</f>
        <v>5106.3384269662929</v>
      </c>
      <c r="DG15" s="49">
        <f t="shared" si="43"/>
        <v>5106.3384269662929</v>
      </c>
      <c r="DH15" s="49">
        <f t="shared" si="43"/>
        <v>5106.3384269662929</v>
      </c>
      <c r="DI15" s="49">
        <f t="shared" si="43"/>
        <v>5106.3384269662929</v>
      </c>
      <c r="DJ15" s="50">
        <f t="shared" si="43"/>
        <v>5106.3384269662929</v>
      </c>
      <c r="DL15" s="47" t="s">
        <v>3</v>
      </c>
      <c r="DM15" s="48">
        <v>1</v>
      </c>
      <c r="DN15" s="50">
        <f>(3956*$K$2*105.6/106.8)</f>
        <v>4267.1460674157306</v>
      </c>
    </row>
    <row r="16" spans="2:118" ht="24" customHeight="1">
      <c r="B16" s="309"/>
      <c r="C16" s="310"/>
      <c r="D16" s="311"/>
      <c r="E16" s="312"/>
      <c r="F16" s="312"/>
      <c r="I16" s="51" t="s">
        <v>5</v>
      </c>
      <c r="J16" s="52">
        <v>1</v>
      </c>
      <c r="K16" s="109">
        <f>(3316.82*$K$2)-0.03</f>
        <v>3618.3190909090913</v>
      </c>
      <c r="L16" s="110">
        <f>K16</f>
        <v>3618.3190909090913</v>
      </c>
      <c r="M16" s="191"/>
      <c r="N16" s="51" t="s">
        <v>4</v>
      </c>
      <c r="O16" s="52">
        <v>1</v>
      </c>
      <c r="P16" s="53">
        <v>1807</v>
      </c>
      <c r="Q16" s="54">
        <f t="shared" ref="Q16:Q17" si="44">P16</f>
        <v>1807</v>
      </c>
      <c r="R16" s="54">
        <f t="shared" si="32"/>
        <v>1807</v>
      </c>
      <c r="S16" s="191"/>
      <c r="T16" s="51" t="s">
        <v>5</v>
      </c>
      <c r="U16" s="52">
        <v>1</v>
      </c>
      <c r="V16" s="54">
        <f>(3155.69*$K$2)-0.03</f>
        <v>3442.5409090909093</v>
      </c>
      <c r="W16" s="191"/>
      <c r="X16" s="51" t="s">
        <v>5</v>
      </c>
      <c r="Y16" s="52">
        <v>1</v>
      </c>
      <c r="Z16" s="53">
        <f>3890.7*$K$2-0.01</f>
        <v>4244.3900000000003</v>
      </c>
      <c r="AA16" s="53">
        <f>Z16</f>
        <v>4244.3900000000003</v>
      </c>
      <c r="AB16" s="53">
        <f>Z16</f>
        <v>4244.3900000000003</v>
      </c>
      <c r="AC16" s="53">
        <f>Z16</f>
        <v>4244.3900000000003</v>
      </c>
      <c r="AD16" s="54">
        <f>Z16</f>
        <v>4244.3900000000003</v>
      </c>
      <c r="AF16" s="51" t="s">
        <v>5</v>
      </c>
      <c r="AG16" s="52">
        <v>1</v>
      </c>
      <c r="AH16" s="53">
        <f>(3614.34*$K$2)</f>
        <v>3942.9163636363642</v>
      </c>
      <c r="AI16" s="53">
        <f>AH16</f>
        <v>3942.9163636363642</v>
      </c>
      <c r="AJ16" s="53">
        <f>AH16</f>
        <v>3942.9163636363642</v>
      </c>
      <c r="AK16" s="53">
        <f>AH16</f>
        <v>3942.9163636363642</v>
      </c>
      <c r="AL16" s="54">
        <f>AH16</f>
        <v>3942.9163636363642</v>
      </c>
      <c r="AN16" s="51" t="s">
        <v>5</v>
      </c>
      <c r="AO16" s="52">
        <v>1</v>
      </c>
      <c r="AP16" s="53">
        <f>(3462.21*$K$2)-0.02</f>
        <v>3776.9363636363641</v>
      </c>
      <c r="AQ16" s="53">
        <f>AP16</f>
        <v>3776.9363636363641</v>
      </c>
      <c r="AR16" s="53">
        <f>AP16</f>
        <v>3776.9363636363641</v>
      </c>
      <c r="AS16" s="167" t="s">
        <v>6</v>
      </c>
      <c r="AT16" s="53">
        <f>AP16</f>
        <v>3776.9363636363641</v>
      </c>
      <c r="AU16" s="53">
        <f>AP16</f>
        <v>3776.9363636363641</v>
      </c>
      <c r="AV16" s="53">
        <f>AP16</f>
        <v>3776.9363636363641</v>
      </c>
      <c r="AW16" s="54">
        <f>AP16</f>
        <v>3776.9363636363641</v>
      </c>
      <c r="AY16" s="51" t="s">
        <v>5</v>
      </c>
      <c r="AZ16" s="52">
        <v>1</v>
      </c>
      <c r="BA16" s="53">
        <f>3319.01*$K$2-0.02</f>
        <v>3620.7181818181825</v>
      </c>
      <c r="BB16" s="53">
        <f>BA16</f>
        <v>3620.7181818181825</v>
      </c>
      <c r="BC16" s="53">
        <f>BA16</f>
        <v>3620.7181818181825</v>
      </c>
      <c r="BD16" s="54">
        <f>BA16</f>
        <v>3620.7181818181825</v>
      </c>
      <c r="BF16" s="51" t="s">
        <v>4</v>
      </c>
      <c r="BG16" s="52">
        <v>1</v>
      </c>
      <c r="BH16" s="53">
        <v>864</v>
      </c>
      <c r="BI16" s="54">
        <f>BH16</f>
        <v>864</v>
      </c>
      <c r="BK16" s="51" t="s">
        <v>4</v>
      </c>
      <c r="BL16" s="52">
        <v>1</v>
      </c>
      <c r="BM16" s="167">
        <v>3525</v>
      </c>
      <c r="BN16" s="53" t="s">
        <v>6</v>
      </c>
      <c r="BO16" s="167" t="s">
        <v>6</v>
      </c>
      <c r="BP16" s="53">
        <f>BS16</f>
        <v>1008</v>
      </c>
      <c r="BQ16" s="53">
        <v>112</v>
      </c>
      <c r="BR16" s="53">
        <v>112</v>
      </c>
      <c r="BS16" s="53">
        <f>BW16</f>
        <v>1008</v>
      </c>
      <c r="BT16" s="53">
        <f>BS16</f>
        <v>1008</v>
      </c>
      <c r="BU16" s="53" t="s">
        <v>6</v>
      </c>
      <c r="BV16" s="53">
        <f>BS16</f>
        <v>1008</v>
      </c>
      <c r="BW16" s="54">
        <v>1008</v>
      </c>
      <c r="BY16" s="51" t="s">
        <v>4</v>
      </c>
      <c r="BZ16" s="52">
        <v>1</v>
      </c>
      <c r="CA16" s="53">
        <f>(151*$K$2*105.6/106.8)+2.93</f>
        <v>165.80640449438204</v>
      </c>
      <c r="CB16" s="53">
        <f t="shared" ref="CB16:CP16" si="45">$CA$16</f>
        <v>165.80640449438204</v>
      </c>
      <c r="CC16" s="53">
        <f t="shared" si="45"/>
        <v>165.80640449438204</v>
      </c>
      <c r="CD16" s="53">
        <f t="shared" si="45"/>
        <v>165.80640449438204</v>
      </c>
      <c r="CE16" s="53">
        <f t="shared" si="45"/>
        <v>165.80640449438204</v>
      </c>
      <c r="CF16" s="53">
        <f t="shared" si="45"/>
        <v>165.80640449438204</v>
      </c>
      <c r="CG16" s="53">
        <f t="shared" si="45"/>
        <v>165.80640449438204</v>
      </c>
      <c r="CH16" s="53">
        <f t="shared" si="45"/>
        <v>165.80640449438204</v>
      </c>
      <c r="CI16" s="53">
        <f t="shared" si="45"/>
        <v>165.80640449438204</v>
      </c>
      <c r="CJ16" s="53">
        <f t="shared" si="45"/>
        <v>165.80640449438204</v>
      </c>
      <c r="CK16" s="53">
        <f t="shared" si="45"/>
        <v>165.80640449438204</v>
      </c>
      <c r="CL16" s="53">
        <f t="shared" si="45"/>
        <v>165.80640449438204</v>
      </c>
      <c r="CM16" s="53">
        <f t="shared" si="45"/>
        <v>165.80640449438204</v>
      </c>
      <c r="CN16" s="53">
        <f t="shared" si="45"/>
        <v>165.80640449438204</v>
      </c>
      <c r="CO16" s="53">
        <f t="shared" si="45"/>
        <v>165.80640449438204</v>
      </c>
      <c r="CP16" s="54">
        <f t="shared" si="45"/>
        <v>165.80640449438204</v>
      </c>
      <c r="CR16" s="51" t="s">
        <v>4</v>
      </c>
      <c r="CS16" s="52">
        <v>1</v>
      </c>
      <c r="CT16" s="53">
        <f>(126*$K$2*105.6/106.8)+1.09</f>
        <v>137.00011235955057</v>
      </c>
      <c r="CU16" s="53">
        <f t="shared" si="38"/>
        <v>137.00011235955057</v>
      </c>
      <c r="CV16" s="53">
        <f t="shared" ref="CV16:CZ16" si="46">CU16</f>
        <v>137.00011235955057</v>
      </c>
      <c r="CW16" s="53">
        <f t="shared" si="46"/>
        <v>137.00011235955057</v>
      </c>
      <c r="CX16" s="53">
        <f t="shared" si="46"/>
        <v>137.00011235955057</v>
      </c>
      <c r="CY16" s="53">
        <f t="shared" si="46"/>
        <v>137.00011235955057</v>
      </c>
      <c r="CZ16" s="54">
        <f t="shared" si="46"/>
        <v>137.00011235955057</v>
      </c>
      <c r="DB16" s="51" t="s">
        <v>4</v>
      </c>
      <c r="DC16" s="52">
        <v>1</v>
      </c>
      <c r="DD16" s="53">
        <f>(109*K2*105.6/106.8)+1.06</f>
        <v>118.63303370786518</v>
      </c>
      <c r="DE16" s="53">
        <f>DD16</f>
        <v>118.63303370786518</v>
      </c>
      <c r="DF16" s="53">
        <f t="shared" ref="DF16:DJ16" si="47">DE16</f>
        <v>118.63303370786518</v>
      </c>
      <c r="DG16" s="53">
        <f t="shared" si="47"/>
        <v>118.63303370786518</v>
      </c>
      <c r="DH16" s="53">
        <f t="shared" si="47"/>
        <v>118.63303370786518</v>
      </c>
      <c r="DI16" s="53">
        <f t="shared" si="47"/>
        <v>118.63303370786518</v>
      </c>
      <c r="DJ16" s="54">
        <f t="shared" si="47"/>
        <v>118.63303370786518</v>
      </c>
      <c r="DL16" s="51" t="s">
        <v>4</v>
      </c>
      <c r="DM16" s="52">
        <v>1</v>
      </c>
      <c r="DN16" s="54">
        <f>(126*$K$2*105.6/106.8)+2.62</f>
        <v>138.53011235955057</v>
      </c>
    </row>
    <row r="17" spans="2:118" ht="24" customHeight="1">
      <c r="B17" s="309"/>
      <c r="C17" s="310"/>
      <c r="D17" s="311"/>
      <c r="E17" s="312"/>
      <c r="F17" s="312"/>
      <c r="I17" s="51"/>
      <c r="J17" s="52"/>
      <c r="K17" s="53"/>
      <c r="L17" s="54"/>
      <c r="M17" s="191"/>
      <c r="N17" s="51" t="s">
        <v>5</v>
      </c>
      <c r="O17" s="52">
        <v>1</v>
      </c>
      <c r="P17" s="53">
        <f>2481.64*$K$2</f>
        <v>2707.2436363636366</v>
      </c>
      <c r="Q17" s="54">
        <f t="shared" si="44"/>
        <v>2707.2436363636366</v>
      </c>
      <c r="R17" s="54">
        <f t="shared" si="32"/>
        <v>2707.2436363636366</v>
      </c>
      <c r="S17" s="191"/>
      <c r="T17" s="51"/>
      <c r="U17" s="52"/>
      <c r="V17" s="54"/>
      <c r="W17" s="191"/>
      <c r="X17" s="51"/>
      <c r="Y17" s="52"/>
      <c r="Z17" s="53"/>
      <c r="AA17" s="53"/>
      <c r="AB17" s="53"/>
      <c r="AC17" s="53"/>
      <c r="AD17" s="54"/>
      <c r="AF17" s="51"/>
      <c r="AG17" s="52"/>
      <c r="AH17" s="53"/>
      <c r="AI17" s="53"/>
      <c r="AJ17" s="53"/>
      <c r="AK17" s="53"/>
      <c r="AL17" s="54"/>
      <c r="AN17" s="51"/>
      <c r="AO17" s="52"/>
      <c r="AP17" s="53"/>
      <c r="AQ17" s="53"/>
      <c r="AR17" s="53"/>
      <c r="AS17" s="53"/>
      <c r="AT17" s="53"/>
      <c r="AU17" s="53"/>
      <c r="AV17" s="53"/>
      <c r="AW17" s="54"/>
      <c r="AY17" s="51"/>
      <c r="AZ17" s="52"/>
      <c r="BA17" s="53"/>
      <c r="BB17" s="53"/>
      <c r="BC17" s="53"/>
      <c r="BD17" s="54"/>
      <c r="BF17" s="51" t="s">
        <v>5</v>
      </c>
      <c r="BG17" s="52">
        <v>1</v>
      </c>
      <c r="BH17" s="53">
        <f>(3697.92*$K$2)+0.02</f>
        <v>4034.1145454545463</v>
      </c>
      <c r="BI17" s="54">
        <f>BH17</f>
        <v>4034.1145454545463</v>
      </c>
      <c r="BK17" s="51" t="s">
        <v>5</v>
      </c>
      <c r="BL17" s="52">
        <v>1</v>
      </c>
      <c r="BM17" s="167" t="s">
        <v>6</v>
      </c>
      <c r="BN17" s="53">
        <f>(3534.61*$K$2)-16.72</f>
        <v>3839.2181818181825</v>
      </c>
      <c r="BO17" s="167" t="s">
        <v>6</v>
      </c>
      <c r="BP17" s="53">
        <f>BN17</f>
        <v>3839.2181818181825</v>
      </c>
      <c r="BQ17" s="53">
        <f>3531.83*$K$2</f>
        <v>3852.9054545454551</v>
      </c>
      <c r="BR17" s="53">
        <f>3531.83*$K$2</f>
        <v>3852.9054545454551</v>
      </c>
      <c r="BS17" s="53">
        <f>BW17</f>
        <v>3852.9054545454551</v>
      </c>
      <c r="BT17" s="53">
        <f>BS17</f>
        <v>3852.9054545454551</v>
      </c>
      <c r="BU17" s="53" t="s">
        <v>6</v>
      </c>
      <c r="BV17" s="53">
        <f>BS17</f>
        <v>3852.9054545454551</v>
      </c>
      <c r="BW17" s="54">
        <f>3531.83*$K$2</f>
        <v>3852.9054545454551</v>
      </c>
      <c r="BY17" s="51" t="s">
        <v>5</v>
      </c>
      <c r="BZ17" s="52">
        <v>1</v>
      </c>
      <c r="CA17" s="53">
        <f>2959*$K$2*105.6/106.83+0.87</f>
        <v>3191.7040353833195</v>
      </c>
      <c r="CB17" s="53">
        <f t="shared" ref="CB17:CP17" si="48">$CA$17</f>
        <v>3191.7040353833195</v>
      </c>
      <c r="CC17" s="53">
        <f t="shared" si="48"/>
        <v>3191.7040353833195</v>
      </c>
      <c r="CD17" s="53">
        <f t="shared" si="48"/>
        <v>3191.7040353833195</v>
      </c>
      <c r="CE17" s="53">
        <f t="shared" si="48"/>
        <v>3191.7040353833195</v>
      </c>
      <c r="CF17" s="53">
        <f t="shared" si="48"/>
        <v>3191.7040353833195</v>
      </c>
      <c r="CG17" s="53">
        <f t="shared" si="48"/>
        <v>3191.7040353833195</v>
      </c>
      <c r="CH17" s="53">
        <f t="shared" si="48"/>
        <v>3191.7040353833195</v>
      </c>
      <c r="CI17" s="53">
        <f t="shared" si="48"/>
        <v>3191.7040353833195</v>
      </c>
      <c r="CJ17" s="53">
        <f t="shared" si="48"/>
        <v>3191.7040353833195</v>
      </c>
      <c r="CK17" s="53">
        <f t="shared" si="48"/>
        <v>3191.7040353833195</v>
      </c>
      <c r="CL17" s="53">
        <f t="shared" si="48"/>
        <v>3191.7040353833195</v>
      </c>
      <c r="CM17" s="53">
        <f t="shared" si="48"/>
        <v>3191.7040353833195</v>
      </c>
      <c r="CN17" s="53">
        <f t="shared" si="48"/>
        <v>3191.7040353833195</v>
      </c>
      <c r="CO17" s="53">
        <f t="shared" si="48"/>
        <v>3191.7040353833195</v>
      </c>
      <c r="CP17" s="54">
        <f t="shared" si="48"/>
        <v>3191.7040353833195</v>
      </c>
      <c r="CR17" s="51" t="s">
        <v>5</v>
      </c>
      <c r="CS17" s="52">
        <v>1</v>
      </c>
      <c r="CT17" s="53">
        <f>(2919*$K$2*105.6/106.8)+1.09</f>
        <v>3149.6742696629221</v>
      </c>
      <c r="CU17" s="53">
        <f t="shared" si="38"/>
        <v>3149.6742696629221</v>
      </c>
      <c r="CV17" s="53">
        <f t="shared" ref="CV17:CZ17" si="49">CU17</f>
        <v>3149.6742696629221</v>
      </c>
      <c r="CW17" s="53">
        <f t="shared" si="49"/>
        <v>3149.6742696629221</v>
      </c>
      <c r="CX17" s="53">
        <f t="shared" si="49"/>
        <v>3149.6742696629221</v>
      </c>
      <c r="CY17" s="53">
        <f t="shared" si="49"/>
        <v>3149.6742696629221</v>
      </c>
      <c r="CZ17" s="54">
        <f t="shared" si="49"/>
        <v>3149.6742696629221</v>
      </c>
      <c r="DB17" s="51" t="s">
        <v>5</v>
      </c>
      <c r="DC17" s="52">
        <v>1</v>
      </c>
      <c r="DD17" s="53">
        <f>(2522*K2*105.6/106.8)+0.02</f>
        <v>2720.3795505617982</v>
      </c>
      <c r="DE17" s="53">
        <f>DD17</f>
        <v>2720.3795505617982</v>
      </c>
      <c r="DF17" s="53">
        <f t="shared" ref="DF17:DJ17" si="50">DE17</f>
        <v>2720.3795505617982</v>
      </c>
      <c r="DG17" s="53">
        <f t="shared" si="50"/>
        <v>2720.3795505617982</v>
      </c>
      <c r="DH17" s="53">
        <f t="shared" si="50"/>
        <v>2720.3795505617982</v>
      </c>
      <c r="DI17" s="53">
        <f t="shared" si="50"/>
        <v>2720.3795505617982</v>
      </c>
      <c r="DJ17" s="54">
        <f t="shared" si="50"/>
        <v>2720.3795505617982</v>
      </c>
      <c r="DL17" s="51" t="s">
        <v>5</v>
      </c>
      <c r="DM17" s="52">
        <v>1</v>
      </c>
      <c r="DN17" s="54">
        <f>(2919*$K$2*105.6/106.8)+1.09</f>
        <v>3149.6742696629221</v>
      </c>
    </row>
    <row r="18" spans="2:118" ht="24" customHeight="1">
      <c r="B18" s="309"/>
      <c r="C18" s="310"/>
      <c r="D18" s="311"/>
      <c r="E18" s="312"/>
      <c r="F18" s="312"/>
      <c r="I18" s="63" t="s">
        <v>10</v>
      </c>
      <c r="J18" s="332">
        <v>1</v>
      </c>
      <c r="K18" s="333">
        <v>12320.96</v>
      </c>
      <c r="L18" s="334" t="s">
        <v>6</v>
      </c>
      <c r="M18" s="191"/>
      <c r="N18" s="63" t="s">
        <v>20</v>
      </c>
      <c r="O18" s="64">
        <v>1</v>
      </c>
      <c r="P18" s="65">
        <f>11596.72*$K$2-0.17</f>
        <v>12650.797272727274</v>
      </c>
      <c r="Q18" s="199" t="s">
        <v>6</v>
      </c>
      <c r="R18" s="66" t="s">
        <v>6</v>
      </c>
      <c r="S18" s="191"/>
      <c r="T18" s="63"/>
      <c r="U18" s="64"/>
      <c r="V18" s="72"/>
      <c r="W18" s="191"/>
      <c r="X18" s="63" t="s">
        <v>14</v>
      </c>
      <c r="Y18" s="64">
        <v>1</v>
      </c>
      <c r="Z18" s="65">
        <f>(5612.51*$K$2)-0.04</f>
        <v>6122.698181818183</v>
      </c>
      <c r="AA18" s="65">
        <f>4365.32*$K$2-0.01</f>
        <v>4762.1572727272724</v>
      </c>
      <c r="AB18" s="65">
        <f>AA18</f>
        <v>4762.1572727272724</v>
      </c>
      <c r="AC18" s="65">
        <f>(5857.67*$K$2)-0.02</f>
        <v>6390.1654545454548</v>
      </c>
      <c r="AD18" s="66" t="s">
        <v>6</v>
      </c>
      <c r="AF18" s="63" t="s">
        <v>14</v>
      </c>
      <c r="AG18" s="64">
        <v>1</v>
      </c>
      <c r="AH18" s="65">
        <f>(19801.09*$K$2)-0.05</f>
        <v>21601.139090909095</v>
      </c>
      <c r="AI18" s="65">
        <f>(748.37*$K$2)-0.01</f>
        <v>816.39363636363646</v>
      </c>
      <c r="AJ18" s="65">
        <f>(12291.65*$K$2)+0.02</f>
        <v>13409.092727272729</v>
      </c>
      <c r="AK18" s="65">
        <f>(2689.22*$K$2)+0.01</f>
        <v>2933.704545454546</v>
      </c>
      <c r="AL18" s="66" t="s">
        <v>6</v>
      </c>
      <c r="AN18" s="63" t="s">
        <v>14</v>
      </c>
      <c r="AO18" s="64">
        <v>1</v>
      </c>
      <c r="AP18" s="65">
        <f>(1812.2*$K$2)-0.03</f>
        <v>1976.9154545454548</v>
      </c>
      <c r="AQ18" s="65">
        <f>(495.56*$K$2)+0.03</f>
        <v>540.64090909090919</v>
      </c>
      <c r="AR18" s="65" t="s">
        <v>6</v>
      </c>
      <c r="AS18" s="65">
        <f>(126.41*$K$2)+0.03</f>
        <v>137.93181818181819</v>
      </c>
      <c r="AT18" s="67" t="s">
        <v>6</v>
      </c>
      <c r="AU18" s="67" t="s">
        <v>6</v>
      </c>
      <c r="AV18" s="67" t="s">
        <v>6</v>
      </c>
      <c r="AW18" s="66" t="s">
        <v>6</v>
      </c>
      <c r="AY18" s="63" t="s">
        <v>14</v>
      </c>
      <c r="AZ18" s="64">
        <v>1</v>
      </c>
      <c r="BA18" s="65">
        <f>(2289.84*$K$2)</f>
        <v>2498.0072727272732</v>
      </c>
      <c r="BB18" s="65">
        <f>BA18</f>
        <v>2498.0072727272732</v>
      </c>
      <c r="BC18" s="65">
        <f>(1212.61*$K$2)-0.02</f>
        <v>1322.8272727272729</v>
      </c>
      <c r="BD18" s="72" t="s">
        <v>6</v>
      </c>
      <c r="BF18" s="63"/>
      <c r="BG18" s="64"/>
      <c r="BH18" s="65"/>
      <c r="BI18" s="72"/>
      <c r="BK18" s="63" t="s">
        <v>14</v>
      </c>
      <c r="BL18" s="64">
        <v>1</v>
      </c>
      <c r="BM18" s="65">
        <f>(54019.83*$K$2)-0.05</f>
        <v>58930.673636363645</v>
      </c>
      <c r="BN18" s="67" t="s">
        <v>6</v>
      </c>
      <c r="BO18" s="67" t="s">
        <v>6</v>
      </c>
      <c r="BP18" s="65">
        <f>1102.8*$K$2-0.01</f>
        <v>1203.0445454545456</v>
      </c>
      <c r="BQ18" s="65">
        <f>(1705.5*$K$2)+0.04</f>
        <v>1860.5854545454547</v>
      </c>
      <c r="BR18" s="65">
        <f>8356.11*$K$2-0.03</f>
        <v>9115.7263636363641</v>
      </c>
      <c r="BS18" s="65">
        <f>(6201.08*$K$2)+0.02</f>
        <v>6764.834545454547</v>
      </c>
      <c r="BT18" s="65">
        <f>(7749.24*$K$2)-0.02</f>
        <v>8453.6963636363635</v>
      </c>
      <c r="BU18" s="67" t="s">
        <v>6</v>
      </c>
      <c r="BV18" s="67" t="s">
        <v>6</v>
      </c>
      <c r="BW18" s="66" t="s">
        <v>6</v>
      </c>
      <c r="BY18" s="63" t="s">
        <v>87</v>
      </c>
      <c r="BZ18" s="64">
        <v>1</v>
      </c>
      <c r="CA18" s="65">
        <f>(9090*$K$2*105.6/106.8)-0.01</f>
        <v>9804.93382022472</v>
      </c>
      <c r="CB18" s="65">
        <f t="shared" ref="CB18:CP18" si="51">$CA$18</f>
        <v>9804.93382022472</v>
      </c>
      <c r="CC18" s="65">
        <f t="shared" si="51"/>
        <v>9804.93382022472</v>
      </c>
      <c r="CD18" s="65">
        <f t="shared" si="51"/>
        <v>9804.93382022472</v>
      </c>
      <c r="CE18" s="65">
        <f t="shared" si="51"/>
        <v>9804.93382022472</v>
      </c>
      <c r="CF18" s="65">
        <f t="shared" si="51"/>
        <v>9804.93382022472</v>
      </c>
      <c r="CG18" s="65">
        <f t="shared" si="51"/>
        <v>9804.93382022472</v>
      </c>
      <c r="CH18" s="65">
        <f t="shared" si="51"/>
        <v>9804.93382022472</v>
      </c>
      <c r="CI18" s="65">
        <f t="shared" si="51"/>
        <v>9804.93382022472</v>
      </c>
      <c r="CJ18" s="65">
        <f t="shared" si="51"/>
        <v>9804.93382022472</v>
      </c>
      <c r="CK18" s="65">
        <f t="shared" si="51"/>
        <v>9804.93382022472</v>
      </c>
      <c r="CL18" s="65">
        <f t="shared" si="51"/>
        <v>9804.93382022472</v>
      </c>
      <c r="CM18" s="65">
        <f t="shared" si="51"/>
        <v>9804.93382022472</v>
      </c>
      <c r="CN18" s="65">
        <f t="shared" si="51"/>
        <v>9804.93382022472</v>
      </c>
      <c r="CO18" s="65">
        <f t="shared" si="51"/>
        <v>9804.93382022472</v>
      </c>
      <c r="CP18" s="72">
        <f t="shared" si="51"/>
        <v>9804.93382022472</v>
      </c>
      <c r="CR18" s="63" t="s">
        <v>87</v>
      </c>
      <c r="CS18" s="64">
        <v>1</v>
      </c>
      <c r="CT18" s="65">
        <f>(12258*$K$2*105.6/106.8)+1.05</f>
        <v>13223.162359550563</v>
      </c>
      <c r="CU18" s="65">
        <f t="shared" si="38"/>
        <v>13223.162359550563</v>
      </c>
      <c r="CV18" s="65">
        <f t="shared" ref="CV18:CZ18" si="52">CU18</f>
        <v>13223.162359550563</v>
      </c>
      <c r="CW18" s="65">
        <f t="shared" si="52"/>
        <v>13223.162359550563</v>
      </c>
      <c r="CX18" s="65">
        <f t="shared" si="52"/>
        <v>13223.162359550563</v>
      </c>
      <c r="CY18" s="65">
        <f t="shared" si="52"/>
        <v>13223.162359550563</v>
      </c>
      <c r="CZ18" s="72">
        <f t="shared" si="52"/>
        <v>13223.162359550563</v>
      </c>
      <c r="DB18" s="63" t="s">
        <v>87</v>
      </c>
      <c r="DC18" s="64">
        <v>1</v>
      </c>
      <c r="DD18" s="65">
        <f>10528*K2*105.6/106.8-0.01</f>
        <v>11356.034943820227</v>
      </c>
      <c r="DE18" s="65">
        <f>DD18</f>
        <v>11356.034943820227</v>
      </c>
      <c r="DF18" s="65">
        <f t="shared" ref="DF18:DJ18" si="53">DE18</f>
        <v>11356.034943820227</v>
      </c>
      <c r="DG18" s="65">
        <f t="shared" si="53"/>
        <v>11356.034943820227</v>
      </c>
      <c r="DH18" s="65">
        <f t="shared" si="53"/>
        <v>11356.034943820227</v>
      </c>
      <c r="DI18" s="65">
        <f t="shared" si="53"/>
        <v>11356.034943820227</v>
      </c>
      <c r="DJ18" s="72">
        <f t="shared" si="53"/>
        <v>11356.034943820227</v>
      </c>
      <c r="DL18" s="63" t="s">
        <v>87</v>
      </c>
      <c r="DM18" s="64">
        <v>1</v>
      </c>
      <c r="DN18" s="260" t="s">
        <v>185</v>
      </c>
    </row>
    <row r="19" spans="2:118" ht="24" customHeight="1">
      <c r="B19" s="309"/>
      <c r="C19" s="310"/>
      <c r="D19" s="311"/>
      <c r="E19" s="312"/>
      <c r="F19" s="312"/>
      <c r="I19" s="74"/>
      <c r="J19" s="74"/>
      <c r="K19" s="75"/>
      <c r="L19" s="130"/>
      <c r="M19" s="191"/>
      <c r="N19" s="73"/>
      <c r="O19" s="74"/>
      <c r="P19" s="75"/>
      <c r="Q19" s="75"/>
      <c r="R19" s="130"/>
      <c r="S19" s="191"/>
      <c r="T19" s="73"/>
      <c r="U19" s="74"/>
      <c r="V19" s="130"/>
      <c r="W19" s="191"/>
      <c r="X19" s="73"/>
      <c r="Y19" s="74"/>
      <c r="Z19" s="75"/>
      <c r="AA19" s="75"/>
      <c r="AB19" s="75"/>
      <c r="AC19" s="75"/>
      <c r="AD19" s="73"/>
      <c r="AF19" s="73"/>
      <c r="AG19" s="74"/>
      <c r="AH19" s="75"/>
      <c r="AI19" s="75"/>
      <c r="AJ19" s="75"/>
      <c r="AK19" s="75"/>
      <c r="AL19" s="73"/>
      <c r="AN19" s="235" t="s">
        <v>35</v>
      </c>
      <c r="AO19" s="74">
        <v>1</v>
      </c>
      <c r="AP19" s="75" t="s">
        <v>6</v>
      </c>
      <c r="AQ19" s="75" t="s">
        <v>6</v>
      </c>
      <c r="AR19" s="75" t="s">
        <v>6</v>
      </c>
      <c r="AS19" s="75" t="s">
        <v>6</v>
      </c>
      <c r="AT19" s="75">
        <f>(2826.82*$K$2)+0.01</f>
        <v>3083.8136363636372</v>
      </c>
      <c r="AU19" s="238" t="s">
        <v>39</v>
      </c>
      <c r="AV19" s="75">
        <f>(1069.42*$K$2)</f>
        <v>1166.6400000000003</v>
      </c>
      <c r="AW19" s="130" t="s">
        <v>6</v>
      </c>
      <c r="AY19" s="73" t="s">
        <v>35</v>
      </c>
      <c r="AZ19" s="74">
        <v>1</v>
      </c>
      <c r="BA19" s="75">
        <f>BB19</f>
        <v>25.625454545454549</v>
      </c>
      <c r="BB19" s="76">
        <f>(23.49*$K$2)</f>
        <v>25.625454545454549</v>
      </c>
      <c r="BC19" s="77" t="s">
        <v>6</v>
      </c>
      <c r="BD19" s="78" t="s">
        <v>6</v>
      </c>
      <c r="BF19" s="73" t="s">
        <v>35</v>
      </c>
      <c r="BG19" s="74">
        <v>1</v>
      </c>
      <c r="BH19" s="75">
        <f>2374.5*$K$2</f>
        <v>2590.3636363636365</v>
      </c>
      <c r="BI19" s="76" t="s">
        <v>6</v>
      </c>
      <c r="BK19" s="73" t="s">
        <v>35</v>
      </c>
      <c r="BL19" s="74">
        <v>1</v>
      </c>
      <c r="BM19" s="75" t="s">
        <v>6</v>
      </c>
      <c r="BN19" s="75" t="s">
        <v>6</v>
      </c>
      <c r="BO19" s="75">
        <f>(67051.32*$K$2)-0.07</f>
        <v>73146.824545454554</v>
      </c>
      <c r="BP19" s="75" t="s">
        <v>6</v>
      </c>
      <c r="BQ19" s="75" t="s">
        <v>6</v>
      </c>
      <c r="BR19" s="75" t="s">
        <v>6</v>
      </c>
      <c r="BS19" s="75" t="s">
        <v>6</v>
      </c>
      <c r="BT19" s="75" t="s">
        <v>6</v>
      </c>
      <c r="BU19" s="75">
        <f>(47144.38*$K$2)-0.05</f>
        <v>51430.182727272731</v>
      </c>
      <c r="BV19" s="75" t="s">
        <v>6</v>
      </c>
      <c r="BW19" s="130" t="s">
        <v>6</v>
      </c>
      <c r="BY19" s="73" t="s">
        <v>88</v>
      </c>
      <c r="BZ19" s="74">
        <v>1</v>
      </c>
      <c r="CA19" s="75">
        <f>(1734*$K$2*105.6/106.8)+1.08</f>
        <v>1871.4620224719104</v>
      </c>
      <c r="CB19" s="75">
        <f>(1352*$K$2*105.6/106.8)+1.07</f>
        <v>1459.4070786516854</v>
      </c>
      <c r="CC19" s="75">
        <f>(4855*$K$2*105.6/106.8)+0.01</f>
        <v>5236.8639325842696</v>
      </c>
      <c r="CD19" s="75">
        <f>(1548*$K$2*105.6/106.8)+1.06</f>
        <v>1670.8128089887641</v>
      </c>
      <c r="CE19" s="75">
        <f>(804*$K$2*105.6/106.8)+1.05</f>
        <v>868.28595505617989</v>
      </c>
      <c r="CF19" s="75">
        <f>(1491*$K$2*105.6/106.8)+1.08</f>
        <v>1609.3496629213485</v>
      </c>
      <c r="CG19" s="75">
        <f>CF19</f>
        <v>1609.3496629213485</v>
      </c>
      <c r="CH19" s="75">
        <f>(342*$K$2*105.6/106.8)-0.03</f>
        <v>368.86887640449442</v>
      </c>
      <c r="CI19" s="75">
        <f>(1440*$K$2*105.6/106.8)+1.09</f>
        <v>1554.3484269662924</v>
      </c>
      <c r="CJ19" s="75">
        <f>(1440*$K$2*105.6/106.8)+1.09</f>
        <v>1554.3484269662924</v>
      </c>
      <c r="CK19" s="75">
        <f>(1440*$K$2*105.6/106.8)+1.09</f>
        <v>1554.3484269662924</v>
      </c>
      <c r="CL19" s="75">
        <f>(512*$K$2*105.6/106.8)+1.05</f>
        <v>553.31966292134825</v>
      </c>
      <c r="CM19" s="75">
        <f>(2231*$K$2*105.6/106.8)+0.01</f>
        <v>2406.4819101123599</v>
      </c>
      <c r="CN19" s="75">
        <f>(513*$K$2*105.6/106.8)+1.1</f>
        <v>554.44831460674163</v>
      </c>
      <c r="CO19" s="75" t="s">
        <v>6</v>
      </c>
      <c r="CP19" s="130">
        <f>(362*$K$2*105.6/106.8)+1.09</f>
        <v>391.56191011235956</v>
      </c>
      <c r="CR19" s="73" t="s">
        <v>88</v>
      </c>
      <c r="CS19" s="74">
        <v>1</v>
      </c>
      <c r="CT19" s="75">
        <f>(282*$K$2*105.6/106.8)+1.04</f>
        <v>305.21977528089894</v>
      </c>
      <c r="CU19" s="75">
        <f t="shared" si="38"/>
        <v>305.21977528089894</v>
      </c>
      <c r="CV19" s="75">
        <f t="shared" ref="CV19:CZ19" si="54">CU19</f>
        <v>305.21977528089894</v>
      </c>
      <c r="CW19" s="75">
        <f t="shared" si="54"/>
        <v>305.21977528089894</v>
      </c>
      <c r="CX19" s="75">
        <f t="shared" si="54"/>
        <v>305.21977528089894</v>
      </c>
      <c r="CY19" s="75">
        <f t="shared" si="54"/>
        <v>305.21977528089894</v>
      </c>
      <c r="CZ19" s="130">
        <f t="shared" si="54"/>
        <v>305.21977528089894</v>
      </c>
      <c r="DB19" s="73" t="s">
        <v>88</v>
      </c>
      <c r="DC19" s="74">
        <v>1</v>
      </c>
      <c r="DD19" s="75">
        <f>2015*$K$2*105.6/106.8+0.01</f>
        <v>2173.4931460674161</v>
      </c>
      <c r="DE19" s="75">
        <f>(289*$K$2*105.6/106.8)+1.08</f>
        <v>312.81033707865168</v>
      </c>
      <c r="DF19" s="75">
        <f>(1370*$K$2*105.6/106.8)-0.01</f>
        <v>1477.7428089887642</v>
      </c>
      <c r="DG19" s="75">
        <f>(289*$K$2*105.6/106.8)+1.08</f>
        <v>312.81033707865168</v>
      </c>
      <c r="DH19" s="75" t="s">
        <v>6</v>
      </c>
      <c r="DI19" s="75" t="s">
        <v>6</v>
      </c>
      <c r="DJ19" s="130" t="s">
        <v>6</v>
      </c>
      <c r="DL19" s="73" t="s">
        <v>88</v>
      </c>
      <c r="DM19" s="74">
        <v>1</v>
      </c>
      <c r="DN19" s="130" t="s">
        <v>6</v>
      </c>
    </row>
    <row r="20" spans="2:118" ht="24" customHeight="1">
      <c r="B20" s="309"/>
      <c r="C20" s="310"/>
      <c r="D20" s="311"/>
      <c r="E20" s="312"/>
      <c r="F20" s="312"/>
      <c r="I20" s="73"/>
      <c r="J20" s="74"/>
      <c r="K20" s="75"/>
      <c r="L20" s="130"/>
      <c r="M20" s="191"/>
      <c r="N20" s="74"/>
      <c r="O20" s="74"/>
      <c r="P20" s="75"/>
      <c r="Q20" s="75"/>
      <c r="R20" s="130"/>
      <c r="S20" s="191"/>
      <c r="T20" s="74"/>
      <c r="U20" s="74"/>
      <c r="V20" s="130"/>
      <c r="W20" s="191"/>
      <c r="X20" s="74"/>
      <c r="Y20" s="74"/>
      <c r="Z20" s="75"/>
      <c r="AA20" s="75"/>
      <c r="AB20" s="75"/>
      <c r="AC20" s="75"/>
      <c r="AD20" s="73"/>
      <c r="AF20" s="74"/>
      <c r="AG20" s="74"/>
      <c r="AH20" s="75"/>
      <c r="AI20" s="75"/>
      <c r="AJ20" s="75"/>
      <c r="AK20" s="75"/>
      <c r="AL20" s="73"/>
      <c r="AN20" s="73"/>
      <c r="AO20" s="74"/>
      <c r="AP20" s="75"/>
      <c r="AQ20" s="75"/>
      <c r="AR20" s="75"/>
      <c r="AS20" s="75"/>
      <c r="AT20" s="75"/>
      <c r="AU20" s="75"/>
      <c r="AV20" s="75"/>
      <c r="AW20" s="130"/>
      <c r="AY20" s="73"/>
      <c r="AZ20" s="74"/>
      <c r="BA20" s="75"/>
      <c r="BB20" s="76"/>
      <c r="BC20" s="77"/>
      <c r="BD20" s="78"/>
      <c r="BF20" s="78"/>
      <c r="BG20" s="78"/>
      <c r="BH20" s="78"/>
      <c r="BI20" s="78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Y20" s="73" t="s">
        <v>89</v>
      </c>
      <c r="BZ20" s="74">
        <v>1</v>
      </c>
      <c r="CA20" s="75">
        <f>(4474*$K$2*105.6/106.8)+1.07</f>
        <v>4826.9576404494383</v>
      </c>
      <c r="CB20" s="75">
        <f>(1968*$K$2*105.6/106.8)+1.06</f>
        <v>2123.8465168539328</v>
      </c>
      <c r="CC20" s="75">
        <f>(5027*$K$2*105.6/106.8)+1.05</f>
        <v>5423.4320224719104</v>
      </c>
      <c r="CD20" s="75">
        <f>(2055*$K$2*105.6/106.8)</f>
        <v>2216.629213483146</v>
      </c>
      <c r="CE20" s="75">
        <f>2075*$K$2*105.6/106.8-0.02</f>
        <v>2238.1822471910118</v>
      </c>
      <c r="CF20" s="75">
        <f>(2207*$K$2*105.6/106.8)+1.09</f>
        <v>2381.6742696629217</v>
      </c>
      <c r="CG20" s="75">
        <f>(3138*$K$2*105.6/106.8)+1.1</f>
        <v>3385.9089887640453</v>
      </c>
      <c r="CH20" s="75">
        <v>0</v>
      </c>
      <c r="CI20" s="75">
        <f>(2482*$K$2*105.6/106.8)+0.01</f>
        <v>2677.2234831460678</v>
      </c>
      <c r="CJ20" s="75">
        <f>CI20</f>
        <v>2677.2234831460678</v>
      </c>
      <c r="CK20" s="75">
        <f>CI20</f>
        <v>2677.2234831460678</v>
      </c>
      <c r="CL20" s="75">
        <f>(2836*$K$2*105.6/106.8)</f>
        <v>3059.0561797752816</v>
      </c>
      <c r="CM20" s="75">
        <f>(2572*$K$2*105.6/106.8)+1.1</f>
        <v>2775.3921348314607</v>
      </c>
      <c r="CN20" s="75">
        <f>(2650*$K$2*105.6/106.8)+1.09</f>
        <v>2859.5169662921357</v>
      </c>
      <c r="CO20" s="75" t="s">
        <v>6</v>
      </c>
      <c r="CP20" s="130" t="s">
        <v>6</v>
      </c>
      <c r="CR20" s="73" t="s">
        <v>89</v>
      </c>
      <c r="CS20" s="74">
        <v>1</v>
      </c>
      <c r="CT20" s="75">
        <f>(1991*$K$2*105.6/106.8)</f>
        <v>2147.5955056179778</v>
      </c>
      <c r="CU20" s="75">
        <f t="shared" si="38"/>
        <v>2147.5955056179778</v>
      </c>
      <c r="CV20" s="75">
        <f t="shared" ref="CV20:CZ20" si="55">CU20</f>
        <v>2147.5955056179778</v>
      </c>
      <c r="CW20" s="75">
        <f t="shared" si="55"/>
        <v>2147.5955056179778</v>
      </c>
      <c r="CX20" s="75">
        <f t="shared" si="55"/>
        <v>2147.5955056179778</v>
      </c>
      <c r="CY20" s="75">
        <f t="shared" si="55"/>
        <v>2147.5955056179778</v>
      </c>
      <c r="CZ20" s="130">
        <f t="shared" si="55"/>
        <v>2147.5955056179778</v>
      </c>
      <c r="DB20" s="73" t="s">
        <v>89</v>
      </c>
      <c r="DC20" s="74">
        <v>1</v>
      </c>
      <c r="DD20" s="75">
        <f>(3835*$K$2*105.6/106.8)-0.03</f>
        <v>4136.5992134831467</v>
      </c>
      <c r="DE20" s="75">
        <f>(3828*$K$2*105.6/106.8)-0.01</f>
        <v>4129.0686516853939</v>
      </c>
      <c r="DF20" s="75">
        <f>(2252*$K$2*105.6/106.8)-0.01</f>
        <v>2429.1135955056179</v>
      </c>
      <c r="DG20" s="75">
        <f>(1939*$K$2*105.6/106.8)</f>
        <v>2091.5056179775283</v>
      </c>
      <c r="DH20" s="75" t="s">
        <v>6</v>
      </c>
      <c r="DI20" s="75" t="s">
        <v>6</v>
      </c>
      <c r="DJ20" s="130" t="s">
        <v>6</v>
      </c>
      <c r="DL20" s="73" t="s">
        <v>89</v>
      </c>
      <c r="DM20" s="74">
        <v>1</v>
      </c>
      <c r="DN20" s="130" t="s">
        <v>6</v>
      </c>
    </row>
    <row r="21" spans="2:118" ht="24" customHeight="1">
      <c r="B21" s="309"/>
      <c r="C21" s="310"/>
      <c r="D21" s="311"/>
      <c r="E21" s="312"/>
      <c r="F21" s="312"/>
      <c r="I21" s="116"/>
      <c r="J21" s="117"/>
      <c r="K21" s="118"/>
      <c r="L21" s="119"/>
      <c r="M21" s="191"/>
      <c r="N21" s="116"/>
      <c r="O21" s="117"/>
      <c r="P21" s="118"/>
      <c r="Q21" s="119"/>
      <c r="R21" s="120"/>
      <c r="S21" s="191"/>
      <c r="T21" s="116"/>
      <c r="U21" s="117"/>
      <c r="V21" s="181"/>
      <c r="W21" s="191"/>
      <c r="X21" s="116"/>
      <c r="Y21" s="117"/>
      <c r="Z21" s="118"/>
      <c r="AA21" s="119"/>
      <c r="AB21" s="120"/>
      <c r="AC21" s="120"/>
      <c r="AD21" s="116"/>
      <c r="AF21" s="116"/>
      <c r="AG21" s="117"/>
      <c r="AH21" s="118"/>
      <c r="AI21" s="119"/>
      <c r="AJ21" s="120"/>
      <c r="AK21" s="120"/>
      <c r="AL21" s="116"/>
      <c r="AN21" s="116"/>
      <c r="AO21" s="117"/>
      <c r="AP21" s="118"/>
      <c r="AQ21" s="119"/>
      <c r="AR21" s="120"/>
      <c r="AS21" s="120"/>
      <c r="AT21" s="120"/>
      <c r="AU21" s="120"/>
      <c r="AV21" s="120"/>
      <c r="AW21" s="120"/>
      <c r="AY21" s="79" t="s">
        <v>52</v>
      </c>
      <c r="AZ21" s="80">
        <v>1</v>
      </c>
      <c r="BA21" s="81" t="s">
        <v>6</v>
      </c>
      <c r="BB21" s="82">
        <v>575</v>
      </c>
      <c r="BC21" s="83" t="s">
        <v>6</v>
      </c>
      <c r="BD21" s="84" t="s">
        <v>6</v>
      </c>
      <c r="BF21" s="84"/>
      <c r="BG21" s="84"/>
      <c r="BH21" s="84"/>
      <c r="BI21" s="84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Y21" s="116" t="s">
        <v>52</v>
      </c>
      <c r="BZ21" s="117">
        <v>1</v>
      </c>
      <c r="CA21" s="118" t="s">
        <v>6</v>
      </c>
      <c r="CB21" s="119" t="s">
        <v>6</v>
      </c>
      <c r="CC21" s="120" t="s">
        <v>6</v>
      </c>
      <c r="CD21" s="120" t="s">
        <v>6</v>
      </c>
      <c r="CE21" s="120" t="s">
        <v>6</v>
      </c>
      <c r="CF21" s="120" t="s">
        <v>6</v>
      </c>
      <c r="CG21" s="120" t="s">
        <v>6</v>
      </c>
      <c r="CH21" s="120" t="s">
        <v>6</v>
      </c>
      <c r="CI21" s="120" t="s">
        <v>6</v>
      </c>
      <c r="CJ21" s="120" t="s">
        <v>6</v>
      </c>
      <c r="CK21" s="120" t="s">
        <v>6</v>
      </c>
      <c r="CL21" s="120" t="s">
        <v>6</v>
      </c>
      <c r="CM21" s="120" t="s">
        <v>6</v>
      </c>
      <c r="CN21" s="120" t="s">
        <v>6</v>
      </c>
      <c r="CO21" s="120" t="s">
        <v>6</v>
      </c>
      <c r="CP21" s="120" t="s">
        <v>6</v>
      </c>
      <c r="CR21" s="116" t="s">
        <v>52</v>
      </c>
      <c r="CS21" s="117">
        <v>1</v>
      </c>
      <c r="CT21" s="120" t="s">
        <v>6</v>
      </c>
      <c r="CU21" s="120"/>
      <c r="CV21" s="120"/>
      <c r="CW21" s="120"/>
      <c r="CX21" s="120"/>
      <c r="CY21" s="120"/>
      <c r="CZ21" s="120"/>
      <c r="DB21" s="116" t="s">
        <v>52</v>
      </c>
      <c r="DC21" s="117">
        <v>1</v>
      </c>
      <c r="DD21" s="120" t="s">
        <v>6</v>
      </c>
      <c r="DE21" s="120" t="s">
        <v>6</v>
      </c>
      <c r="DF21" s="120" t="s">
        <v>6</v>
      </c>
      <c r="DG21" s="120" t="s">
        <v>6</v>
      </c>
      <c r="DH21" s="120" t="s">
        <v>6</v>
      </c>
      <c r="DI21" s="120" t="s">
        <v>6</v>
      </c>
      <c r="DJ21" s="120" t="s">
        <v>6</v>
      </c>
      <c r="DL21" s="116" t="s">
        <v>52</v>
      </c>
      <c r="DM21" s="117">
        <v>1</v>
      </c>
      <c r="DN21" s="120" t="s">
        <v>6</v>
      </c>
    </row>
    <row r="22" spans="2:118" ht="24" customHeight="1">
      <c r="B22" s="309"/>
      <c r="C22" s="310"/>
      <c r="D22" s="311"/>
      <c r="E22" s="312"/>
      <c r="F22" s="312"/>
      <c r="I22" s="116"/>
      <c r="J22" s="117"/>
      <c r="K22" s="121"/>
      <c r="L22" s="122"/>
      <c r="M22" s="191"/>
      <c r="N22" s="116"/>
      <c r="O22" s="117"/>
      <c r="P22" s="121"/>
      <c r="Q22" s="122"/>
      <c r="R22" s="123"/>
      <c r="S22" s="191"/>
      <c r="T22" s="116"/>
      <c r="U22" s="117"/>
      <c r="V22" s="182"/>
      <c r="W22" s="191"/>
      <c r="X22" s="116"/>
      <c r="Y22" s="117"/>
      <c r="Z22" s="121"/>
      <c r="AA22" s="122"/>
      <c r="AB22" s="123"/>
      <c r="AC22" s="123"/>
      <c r="AD22" s="116"/>
      <c r="AF22" s="116"/>
      <c r="AG22" s="117"/>
      <c r="AH22" s="121"/>
      <c r="AI22" s="122"/>
      <c r="AJ22" s="123"/>
      <c r="AK22" s="123"/>
      <c r="AL22" s="116"/>
      <c r="AN22" s="116"/>
      <c r="AO22" s="117"/>
      <c r="AP22" s="121"/>
      <c r="AQ22" s="122"/>
      <c r="AR22" s="123"/>
      <c r="AS22" s="123"/>
      <c r="AT22" s="123"/>
      <c r="AU22" s="123"/>
      <c r="AV22" s="123"/>
      <c r="AW22" s="123"/>
      <c r="AX22" s="191"/>
      <c r="AY22" s="79" t="s">
        <v>53</v>
      </c>
      <c r="AZ22" s="80">
        <v>1</v>
      </c>
      <c r="BA22" s="85" t="s">
        <v>6</v>
      </c>
      <c r="BB22" s="86">
        <f>(1957.63*$K$2)+0.02</f>
        <v>2135.616363636364</v>
      </c>
      <c r="BC22" s="87" t="s">
        <v>6</v>
      </c>
      <c r="BD22" s="88" t="s">
        <v>6</v>
      </c>
      <c r="BF22" s="88"/>
      <c r="BG22" s="88"/>
      <c r="BH22" s="88"/>
      <c r="BI22" s="88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Y22" s="116" t="s">
        <v>53</v>
      </c>
      <c r="BZ22" s="117">
        <v>1</v>
      </c>
      <c r="CA22" s="121" t="s">
        <v>6</v>
      </c>
      <c r="CB22" s="122" t="s">
        <v>6</v>
      </c>
      <c r="CC22" s="123">
        <f>(1536*$K$2*105.6/106.8)-0.02</f>
        <v>1656.7889887640451</v>
      </c>
      <c r="CD22" s="123">
        <f>(1492*$K$2*105.6/106.8)</f>
        <v>1609.3483146067415</v>
      </c>
      <c r="CE22" s="123" t="s">
        <v>6</v>
      </c>
      <c r="CF22" s="123">
        <f>1278*$K$2*105.6/106.8+0.01</f>
        <v>1378.5268539325846</v>
      </c>
      <c r="CG22" s="123">
        <f>(1059*$K$2*105.6/106.8)+1.09</f>
        <v>1143.3821348314607</v>
      </c>
      <c r="CH22" s="123">
        <f>(9909*$K$2*105.6/106.8)+1.08</f>
        <v>10689.439550561798</v>
      </c>
      <c r="CI22" s="123">
        <f>(1088*$K$2*105.6/106.8)+1.11</f>
        <v>1174.6830337078652</v>
      </c>
      <c r="CJ22" s="123">
        <f>(1088*$K$2*105.6/106.8)+1.11</f>
        <v>1174.6830337078652</v>
      </c>
      <c r="CK22" s="123" t="s">
        <v>6</v>
      </c>
      <c r="CL22" s="123">
        <f>(3514*$K$2*105.6/106.8)-0.02</f>
        <v>3790.3620224719107</v>
      </c>
      <c r="CM22" s="123">
        <f>(1064*$K$2*105.6/106.8)+1.09</f>
        <v>1148.7753932584271</v>
      </c>
      <c r="CN22" s="123">
        <f>(1096*$K$2*105.6/106.8)-0.02</f>
        <v>1182.1822471910114</v>
      </c>
      <c r="CO22" s="123" t="s">
        <v>6</v>
      </c>
      <c r="CP22" s="123" t="s">
        <v>6</v>
      </c>
      <c r="CR22" s="116" t="s">
        <v>53</v>
      </c>
      <c r="CS22" s="117">
        <v>1</v>
      </c>
      <c r="CT22" s="123">
        <f>929*$K$2*105.6/106.8</f>
        <v>1002.0674157303373</v>
      </c>
      <c r="CU22" s="123">
        <f>(1613*$K$2*105.6/106.8)-0.02</f>
        <v>1739.8451685393263</v>
      </c>
      <c r="CV22" s="123">
        <f>(4330*$K$2*105.6/106.8)-0.01</f>
        <v>4670.5517977528089</v>
      </c>
      <c r="CW22" s="123">
        <f>4144*$K$2*105.6/106.8-0.01</f>
        <v>4469.9225842696624</v>
      </c>
      <c r="CX22" s="123">
        <f>(9755*$K$2*105.6/106.8)+1.06</f>
        <v>10523.307191011238</v>
      </c>
      <c r="CY22" s="123">
        <f>2406*$K$2*105.6/106.8-0.02</f>
        <v>2595.2159550561801</v>
      </c>
      <c r="CZ22" s="123">
        <f>(4395*$K$2*105.6/106.8)+1.07</f>
        <v>4741.7441573033702</v>
      </c>
      <c r="DB22" s="116" t="s">
        <v>53</v>
      </c>
      <c r="DC22" s="117">
        <v>1</v>
      </c>
      <c r="DD22" s="123">
        <f>(3242*$K$2*105.6/106.8)+0.01</f>
        <v>3496.9987640449444</v>
      </c>
      <c r="DE22" s="123" t="s">
        <v>6</v>
      </c>
      <c r="DF22" s="123">
        <f>5759*$K$2*105.6/106.8+0.01</f>
        <v>6211.9650561797762</v>
      </c>
      <c r="DG22" s="123" t="s">
        <v>6</v>
      </c>
      <c r="DH22" s="123">
        <f>(3139*$K$2*105.6/106.8)+0.02</f>
        <v>3385.9076404494385</v>
      </c>
      <c r="DI22" s="123" t="s">
        <v>6</v>
      </c>
      <c r="DJ22" s="123" t="s">
        <v>6</v>
      </c>
      <c r="DL22" s="116" t="s">
        <v>53</v>
      </c>
      <c r="DM22" s="117">
        <v>1</v>
      </c>
      <c r="DN22" s="123" t="s">
        <v>6</v>
      </c>
    </row>
    <row r="23" spans="2:118" s="191" customFormat="1" ht="24" customHeight="1">
      <c r="B23" s="309"/>
      <c r="C23" s="310"/>
      <c r="D23" s="311"/>
      <c r="E23" s="312"/>
      <c r="F23" s="312"/>
      <c r="G23" s="194"/>
      <c r="I23" s="126"/>
      <c r="J23" s="127"/>
      <c r="K23" s="124"/>
      <c r="L23" s="124"/>
      <c r="N23" s="126"/>
      <c r="O23" s="127"/>
      <c r="P23" s="124"/>
      <c r="Q23" s="124"/>
      <c r="R23" s="124"/>
      <c r="T23" s="126"/>
      <c r="U23" s="127"/>
      <c r="V23" s="124"/>
      <c r="X23" s="126"/>
      <c r="Y23" s="127"/>
      <c r="Z23" s="124"/>
      <c r="AA23" s="124"/>
      <c r="AB23" s="124"/>
      <c r="AC23" s="124"/>
      <c r="AD23" s="126"/>
      <c r="AF23" s="126"/>
      <c r="AG23" s="127"/>
      <c r="AH23" s="124"/>
      <c r="AI23" s="124"/>
      <c r="AJ23" s="124"/>
      <c r="AK23" s="124"/>
      <c r="AL23" s="126"/>
      <c r="AN23" s="126"/>
      <c r="AO23" s="127"/>
      <c r="AP23" s="124"/>
      <c r="AQ23" s="124"/>
      <c r="AR23" s="124"/>
      <c r="AS23" s="124"/>
      <c r="AT23" s="124"/>
      <c r="AU23" s="124"/>
      <c r="AV23" s="124"/>
      <c r="AW23" s="124"/>
      <c r="AX23" s="194"/>
      <c r="AY23" s="124"/>
      <c r="AZ23" s="124"/>
      <c r="BA23" s="124"/>
      <c r="BB23" s="124"/>
      <c r="BC23" s="124"/>
      <c r="BD23" s="124"/>
      <c r="BF23" s="124"/>
      <c r="BG23" s="124"/>
      <c r="BH23" s="124"/>
      <c r="BI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Y23" s="126" t="s">
        <v>90</v>
      </c>
      <c r="BZ23" s="127">
        <v>1</v>
      </c>
      <c r="CA23" s="124" t="s">
        <v>6</v>
      </c>
      <c r="CB23" s="124" t="s">
        <v>6</v>
      </c>
      <c r="CC23" s="124" t="s">
        <v>6</v>
      </c>
      <c r="CD23" s="124" t="s">
        <v>6</v>
      </c>
      <c r="CE23" s="124" t="s">
        <v>6</v>
      </c>
      <c r="CF23" s="124" t="s">
        <v>6</v>
      </c>
      <c r="CG23" s="124" t="s">
        <v>6</v>
      </c>
      <c r="CH23" s="124" t="s">
        <v>6</v>
      </c>
      <c r="CI23" s="124" t="s">
        <v>6</v>
      </c>
      <c r="CJ23" s="124" t="s">
        <v>6</v>
      </c>
      <c r="CK23" s="124" t="s">
        <v>6</v>
      </c>
      <c r="CL23" s="124">
        <f>1799</f>
        <v>1799</v>
      </c>
      <c r="CM23" s="124">
        <f>CL23</f>
        <v>1799</v>
      </c>
      <c r="CN23" s="124">
        <f>CL23</f>
        <v>1799</v>
      </c>
      <c r="CO23" s="124">
        <f>CL23</f>
        <v>1799</v>
      </c>
      <c r="CP23" s="124" t="s">
        <v>6</v>
      </c>
      <c r="CR23" s="126" t="s">
        <v>168</v>
      </c>
      <c r="CS23" s="127">
        <v>1</v>
      </c>
      <c r="CT23" s="124" t="s">
        <v>6</v>
      </c>
      <c r="CU23" s="124" t="s">
        <v>6</v>
      </c>
      <c r="CV23" s="124" t="s">
        <v>6</v>
      </c>
      <c r="CW23" s="124" t="s">
        <v>6</v>
      </c>
      <c r="CX23" s="124" t="s">
        <v>6</v>
      </c>
      <c r="CY23" s="124" t="s">
        <v>6</v>
      </c>
      <c r="CZ23" s="124" t="s">
        <v>6</v>
      </c>
      <c r="DB23" s="126" t="s">
        <v>168</v>
      </c>
      <c r="DC23" s="127">
        <v>1</v>
      </c>
      <c r="DD23" s="124" t="s">
        <v>6</v>
      </c>
      <c r="DE23" s="124" t="s">
        <v>6</v>
      </c>
      <c r="DF23" s="124" t="s">
        <v>6</v>
      </c>
      <c r="DG23" s="124" t="s">
        <v>6</v>
      </c>
      <c r="DH23" s="124" t="s">
        <v>6</v>
      </c>
      <c r="DI23" s="124" t="s">
        <v>6</v>
      </c>
      <c r="DJ23" s="124" t="s">
        <v>6</v>
      </c>
      <c r="DK23" s="194"/>
      <c r="DL23" s="126" t="s">
        <v>168</v>
      </c>
      <c r="DM23" s="127">
        <v>1</v>
      </c>
      <c r="DN23" s="124" t="s">
        <v>6</v>
      </c>
    </row>
    <row r="24" spans="2:118" ht="24" customHeight="1">
      <c r="B24" s="309"/>
      <c r="C24" s="310"/>
      <c r="D24" s="311"/>
      <c r="E24" s="312"/>
      <c r="F24" s="312"/>
      <c r="I24" s="126"/>
      <c r="J24" s="127"/>
      <c r="K24" s="124"/>
      <c r="L24" s="124"/>
      <c r="M24" s="191"/>
      <c r="N24" s="126"/>
      <c r="O24" s="127"/>
      <c r="P24" s="124"/>
      <c r="Q24" s="124"/>
      <c r="R24" s="124"/>
      <c r="S24" s="191"/>
      <c r="T24" s="126"/>
      <c r="U24" s="127"/>
      <c r="V24" s="124"/>
      <c r="W24" s="191"/>
      <c r="X24" s="126"/>
      <c r="Y24" s="127"/>
      <c r="Z24" s="124"/>
      <c r="AA24" s="124"/>
      <c r="AB24" s="124"/>
      <c r="AC24" s="124"/>
      <c r="AD24" s="126"/>
      <c r="AF24" s="126"/>
      <c r="AG24" s="127"/>
      <c r="AH24" s="124"/>
      <c r="AI24" s="124"/>
      <c r="AJ24" s="124"/>
      <c r="AK24" s="124"/>
      <c r="AL24" s="126"/>
      <c r="AN24" s="126"/>
      <c r="AO24" s="127"/>
      <c r="AP24" s="124"/>
      <c r="AQ24" s="124"/>
      <c r="AR24" s="124"/>
      <c r="AS24" s="124"/>
      <c r="AT24" s="124"/>
      <c r="AU24" s="124"/>
      <c r="AV24" s="124"/>
      <c r="AW24" s="124"/>
      <c r="AY24" s="124"/>
      <c r="AZ24" s="124"/>
      <c r="BA24" s="124"/>
      <c r="BB24" s="124"/>
      <c r="BC24" s="124"/>
      <c r="BD24" s="124"/>
      <c r="BF24" s="124"/>
      <c r="BG24" s="124"/>
      <c r="BH24" s="124"/>
      <c r="BI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Y24" s="126" t="s">
        <v>91</v>
      </c>
      <c r="BZ24" s="127">
        <v>1</v>
      </c>
      <c r="CA24" s="124" t="s">
        <v>6</v>
      </c>
      <c r="CB24" s="124" t="s">
        <v>6</v>
      </c>
      <c r="CC24" s="124" t="s">
        <v>6</v>
      </c>
      <c r="CD24" s="124" t="s">
        <v>6</v>
      </c>
      <c r="CE24" s="124" t="s">
        <v>6</v>
      </c>
      <c r="CF24" s="124" t="s">
        <v>6</v>
      </c>
      <c r="CG24" s="124" t="s">
        <v>6</v>
      </c>
      <c r="CH24" s="124" t="s">
        <v>6</v>
      </c>
      <c r="CI24" s="124" t="s">
        <v>6</v>
      </c>
      <c r="CJ24" s="124" t="s">
        <v>6</v>
      </c>
      <c r="CK24" s="124" t="s">
        <v>6</v>
      </c>
      <c r="CL24" s="124">
        <f>(1025*$K$2*105.6/106.8)+1.06</f>
        <v>1106.67797752809</v>
      </c>
      <c r="CM24" s="124">
        <f>CL24</f>
        <v>1106.67797752809</v>
      </c>
      <c r="CN24" s="124">
        <f>CL24</f>
        <v>1106.67797752809</v>
      </c>
      <c r="CO24" s="124">
        <f>CL24</f>
        <v>1106.67797752809</v>
      </c>
      <c r="CP24" s="124" t="s">
        <v>6</v>
      </c>
      <c r="CR24" s="126" t="s">
        <v>169</v>
      </c>
      <c r="CS24" s="127">
        <v>1</v>
      </c>
      <c r="CT24" s="124">
        <f>(362*$K$2*105.6/106.8)+1.09</f>
        <v>391.56191011235956</v>
      </c>
      <c r="CU24" s="124">
        <f>$CT$24</f>
        <v>391.56191011235956</v>
      </c>
      <c r="CV24" s="124">
        <f t="shared" ref="CV24:CZ24" si="56">$CT$24</f>
        <v>391.56191011235956</v>
      </c>
      <c r="CW24" s="124">
        <f t="shared" si="56"/>
        <v>391.56191011235956</v>
      </c>
      <c r="CX24" s="124">
        <f t="shared" si="56"/>
        <v>391.56191011235956</v>
      </c>
      <c r="CY24" s="124">
        <f t="shared" si="56"/>
        <v>391.56191011235956</v>
      </c>
      <c r="CZ24" s="124">
        <f t="shared" si="56"/>
        <v>391.56191011235956</v>
      </c>
      <c r="DB24" s="126" t="s">
        <v>169</v>
      </c>
      <c r="DC24" s="127">
        <v>1</v>
      </c>
      <c r="DD24" s="124" t="s">
        <v>6</v>
      </c>
      <c r="DE24" s="124" t="s">
        <v>6</v>
      </c>
      <c r="DF24" s="124" t="s">
        <v>6</v>
      </c>
      <c r="DG24" s="124" t="s">
        <v>6</v>
      </c>
      <c r="DH24" s="124" t="s">
        <v>6</v>
      </c>
      <c r="DI24" s="124" t="s">
        <v>6</v>
      </c>
      <c r="DJ24" s="124" t="s">
        <v>6</v>
      </c>
      <c r="DL24" s="126" t="s">
        <v>169</v>
      </c>
      <c r="DM24" s="127">
        <v>1</v>
      </c>
      <c r="DN24" s="124" t="s">
        <v>6</v>
      </c>
    </row>
    <row r="25" spans="2:118" ht="24" customHeight="1">
      <c r="B25" s="309"/>
      <c r="C25" s="310"/>
      <c r="D25" s="311"/>
      <c r="E25" s="312"/>
      <c r="F25" s="312"/>
      <c r="I25" s="91"/>
      <c r="J25" s="104"/>
      <c r="K25" s="125"/>
      <c r="L25" s="125"/>
      <c r="M25" s="191"/>
      <c r="N25" s="91"/>
      <c r="O25" s="104"/>
      <c r="P25" s="125"/>
      <c r="Q25" s="125"/>
      <c r="R25" s="125"/>
      <c r="S25" s="191"/>
      <c r="T25" s="91"/>
      <c r="U25" s="104"/>
      <c r="V25" s="125"/>
      <c r="W25" s="191"/>
      <c r="X25" s="91"/>
      <c r="Y25" s="104"/>
      <c r="Z25" s="125"/>
      <c r="AA25" s="125"/>
      <c r="AB25" s="125"/>
      <c r="AC25" s="125"/>
      <c r="AD25" s="91"/>
      <c r="AF25" s="91"/>
      <c r="AG25" s="104"/>
      <c r="AH25" s="125"/>
      <c r="AI25" s="125"/>
      <c r="AJ25" s="125"/>
      <c r="AK25" s="125"/>
      <c r="AL25" s="91"/>
      <c r="AN25" s="91"/>
      <c r="AO25" s="104"/>
      <c r="AP25" s="125"/>
      <c r="AQ25" s="125"/>
      <c r="AR25" s="125"/>
      <c r="AS25" s="125"/>
      <c r="AT25" s="125"/>
      <c r="AU25" s="125"/>
      <c r="AV25" s="125"/>
      <c r="AW25" s="125"/>
      <c r="AY25" s="125"/>
      <c r="AZ25" s="125"/>
      <c r="BA25" s="125"/>
      <c r="BB25" s="125"/>
      <c r="BC25" s="125"/>
      <c r="BD25" s="125"/>
      <c r="BF25" s="125"/>
      <c r="BG25" s="125"/>
      <c r="BH25" s="125"/>
      <c r="BI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Y25" s="91" t="s">
        <v>170</v>
      </c>
      <c r="BZ25" s="104" t="s">
        <v>6</v>
      </c>
      <c r="CA25" s="125" t="s">
        <v>6</v>
      </c>
      <c r="CB25" s="125" t="s">
        <v>6</v>
      </c>
      <c r="CC25" s="125" t="s">
        <v>6</v>
      </c>
      <c r="CD25" s="125" t="s">
        <v>6</v>
      </c>
      <c r="CE25" s="125" t="s">
        <v>6</v>
      </c>
      <c r="CF25" s="125" t="s">
        <v>6</v>
      </c>
      <c r="CG25" s="125" t="s">
        <v>93</v>
      </c>
      <c r="CH25" s="125" t="s">
        <v>93</v>
      </c>
      <c r="CI25" s="125" t="s">
        <v>6</v>
      </c>
      <c r="CJ25" s="125" t="s">
        <v>6</v>
      </c>
      <c r="CK25" s="125" t="s">
        <v>6</v>
      </c>
      <c r="CL25" s="238" t="s">
        <v>184</v>
      </c>
      <c r="CM25" s="125"/>
      <c r="CN25" s="238" t="s">
        <v>184</v>
      </c>
      <c r="CO25" s="125"/>
      <c r="CP25" s="125" t="s">
        <v>6</v>
      </c>
      <c r="CR25" s="91"/>
      <c r="CS25" s="104"/>
      <c r="CT25" s="125" t="s">
        <v>6</v>
      </c>
      <c r="CU25" s="125" t="s">
        <v>6</v>
      </c>
      <c r="CV25" s="125" t="s">
        <v>6</v>
      </c>
      <c r="CW25" s="125" t="s">
        <v>6</v>
      </c>
      <c r="CX25" s="125" t="s">
        <v>6</v>
      </c>
      <c r="CY25" s="125" t="s">
        <v>6</v>
      </c>
      <c r="CZ25" s="125" t="s">
        <v>6</v>
      </c>
      <c r="DB25" s="91"/>
      <c r="DC25" s="104"/>
      <c r="DD25" s="125" t="s">
        <v>6</v>
      </c>
      <c r="DE25" s="125" t="s">
        <v>6</v>
      </c>
      <c r="DF25" s="125" t="s">
        <v>6</v>
      </c>
      <c r="DG25" s="125" t="s">
        <v>6</v>
      </c>
      <c r="DH25" s="125" t="s">
        <v>6</v>
      </c>
      <c r="DI25" s="125" t="s">
        <v>6</v>
      </c>
      <c r="DJ25" s="125" t="s">
        <v>6</v>
      </c>
      <c r="DL25" s="91"/>
      <c r="DM25" s="104"/>
      <c r="DN25" s="125" t="s">
        <v>6</v>
      </c>
    </row>
    <row r="26" spans="2:118" ht="24" customHeight="1">
      <c r="B26" s="309"/>
      <c r="C26" s="310"/>
      <c r="D26" s="311"/>
      <c r="E26" s="312"/>
      <c r="F26" s="312"/>
      <c r="I26" s="55"/>
      <c r="J26" s="56"/>
      <c r="K26" s="111"/>
      <c r="L26" s="112"/>
      <c r="M26" s="191"/>
      <c r="N26" s="68"/>
      <c r="O26" s="69"/>
      <c r="P26" s="70"/>
      <c r="Q26" s="70"/>
      <c r="R26" s="71"/>
      <c r="S26" s="191"/>
      <c r="T26" s="68"/>
      <c r="U26" s="69"/>
      <c r="V26" s="71"/>
      <c r="W26" s="191"/>
      <c r="X26" s="68"/>
      <c r="Y26" s="69"/>
      <c r="Z26" s="70"/>
      <c r="AA26" s="70"/>
      <c r="AB26" s="70"/>
      <c r="AC26" s="70"/>
      <c r="AD26" s="71"/>
      <c r="AF26" s="68"/>
      <c r="AG26" s="69"/>
      <c r="AH26" s="70"/>
      <c r="AI26" s="70"/>
      <c r="AJ26" s="70"/>
      <c r="AK26" s="70"/>
      <c r="AL26" s="71"/>
      <c r="AN26" s="68"/>
      <c r="AO26" s="69"/>
      <c r="AP26" s="70"/>
      <c r="AQ26" s="70"/>
      <c r="AR26" s="70"/>
      <c r="AS26" s="70"/>
      <c r="AT26" s="70"/>
      <c r="AU26" s="70"/>
      <c r="AV26" s="70"/>
      <c r="AW26" s="71"/>
      <c r="AY26" s="70"/>
      <c r="AZ26" s="70"/>
      <c r="BA26" s="70"/>
      <c r="BB26" s="70"/>
      <c r="BC26" s="70"/>
      <c r="BD26" s="71"/>
      <c r="BF26" s="70"/>
      <c r="BG26" s="70"/>
      <c r="BH26" s="70"/>
      <c r="BI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Y26" s="68" t="s">
        <v>60</v>
      </c>
      <c r="BZ26" s="69">
        <v>1</v>
      </c>
      <c r="CA26" s="70">
        <f>(173*$K$2*105.6/106.8)+0.02</f>
        <v>186.62674157303374</v>
      </c>
      <c r="CB26" s="70">
        <f t="shared" ref="CB26:CP26" si="57">$CA$26</f>
        <v>186.62674157303374</v>
      </c>
      <c r="CC26" s="70">
        <f t="shared" si="57"/>
        <v>186.62674157303374</v>
      </c>
      <c r="CD26" s="70">
        <f t="shared" si="57"/>
        <v>186.62674157303374</v>
      </c>
      <c r="CE26" s="70">
        <f t="shared" si="57"/>
        <v>186.62674157303374</v>
      </c>
      <c r="CF26" s="70">
        <f t="shared" si="57"/>
        <v>186.62674157303374</v>
      </c>
      <c r="CG26" s="69">
        <f t="shared" si="57"/>
        <v>186.62674157303374</v>
      </c>
      <c r="CH26" s="70">
        <f t="shared" si="57"/>
        <v>186.62674157303374</v>
      </c>
      <c r="CI26" s="70">
        <f t="shared" si="57"/>
        <v>186.62674157303374</v>
      </c>
      <c r="CJ26" s="70">
        <f t="shared" si="57"/>
        <v>186.62674157303374</v>
      </c>
      <c r="CK26" s="70">
        <f t="shared" si="57"/>
        <v>186.62674157303374</v>
      </c>
      <c r="CL26" s="70">
        <f t="shared" si="57"/>
        <v>186.62674157303374</v>
      </c>
      <c r="CM26" s="70">
        <f t="shared" si="57"/>
        <v>186.62674157303374</v>
      </c>
      <c r="CN26" s="69">
        <f t="shared" si="57"/>
        <v>186.62674157303374</v>
      </c>
      <c r="CO26" s="70">
        <f t="shared" si="57"/>
        <v>186.62674157303374</v>
      </c>
      <c r="CP26" s="71">
        <f t="shared" si="57"/>
        <v>186.62674157303374</v>
      </c>
      <c r="CR26" s="68" t="s">
        <v>60</v>
      </c>
      <c r="CS26" s="69">
        <v>1</v>
      </c>
      <c r="CT26" s="70">
        <f>(87*$K$2*105.6/106.8)</f>
        <v>93.842696629213506</v>
      </c>
      <c r="CU26" s="70">
        <f>CT26</f>
        <v>93.842696629213506</v>
      </c>
      <c r="CV26" s="70">
        <f t="shared" ref="CV26:CZ26" si="58">CU26</f>
        <v>93.842696629213506</v>
      </c>
      <c r="CW26" s="70">
        <f t="shared" si="58"/>
        <v>93.842696629213506</v>
      </c>
      <c r="CX26" s="70">
        <f t="shared" si="58"/>
        <v>93.842696629213506</v>
      </c>
      <c r="CY26" s="70">
        <f t="shared" si="58"/>
        <v>93.842696629213506</v>
      </c>
      <c r="CZ26" s="71">
        <f t="shared" si="58"/>
        <v>93.842696629213506</v>
      </c>
      <c r="DB26" s="68" t="s">
        <v>60</v>
      </c>
      <c r="DC26" s="69">
        <v>1</v>
      </c>
      <c r="DD26" s="70">
        <f>(263*$K$2*105.6/106.8)-0.04</f>
        <v>283.64539325842696</v>
      </c>
      <c r="DE26" s="70">
        <f>DD26</f>
        <v>283.64539325842696</v>
      </c>
      <c r="DF26" s="70">
        <f t="shared" ref="DF26:DJ26" si="59">DE26</f>
        <v>283.64539325842696</v>
      </c>
      <c r="DG26" s="70">
        <f t="shared" si="59"/>
        <v>283.64539325842696</v>
      </c>
      <c r="DH26" s="70">
        <f t="shared" si="59"/>
        <v>283.64539325842696</v>
      </c>
      <c r="DI26" s="70">
        <f t="shared" si="59"/>
        <v>283.64539325842696</v>
      </c>
      <c r="DJ26" s="71">
        <f t="shared" si="59"/>
        <v>283.64539325842696</v>
      </c>
      <c r="DL26" s="68" t="s">
        <v>60</v>
      </c>
      <c r="DM26" s="69">
        <v>1</v>
      </c>
      <c r="DN26" s="71">
        <f>(87*$K$2*105.6/106.8)</f>
        <v>93.842696629213506</v>
      </c>
    </row>
    <row r="27" spans="2:118" ht="24" customHeight="1" thickBot="1">
      <c r="B27" s="309"/>
      <c r="C27" s="310"/>
      <c r="D27" s="311"/>
      <c r="E27" s="312"/>
      <c r="F27" s="312"/>
      <c r="I27" s="55" t="s">
        <v>11</v>
      </c>
      <c r="J27" s="57">
        <v>1</v>
      </c>
      <c r="K27" s="113">
        <f>(512.33*$K$2)+0.01</f>
        <v>558.91545454545462</v>
      </c>
      <c r="L27" s="114">
        <f>K27</f>
        <v>558.91545454545462</v>
      </c>
      <c r="M27" s="191"/>
      <c r="N27" s="68"/>
      <c r="O27" s="69"/>
      <c r="P27" s="70"/>
      <c r="Q27" s="70"/>
      <c r="R27" s="71"/>
      <c r="S27" s="191"/>
      <c r="T27" s="55" t="s">
        <v>11</v>
      </c>
      <c r="U27" s="57">
        <v>1</v>
      </c>
      <c r="V27" s="59">
        <f>(512.33*$K$2)+0.01</f>
        <v>558.91545454545462</v>
      </c>
      <c r="W27" s="191"/>
      <c r="X27" s="55" t="s">
        <v>11</v>
      </c>
      <c r="Y27" s="57">
        <v>1</v>
      </c>
      <c r="Z27" s="58">
        <f>(541.92*$K$2)</f>
        <v>591.1854545454546</v>
      </c>
      <c r="AA27" s="58">
        <f>Z27</f>
        <v>591.1854545454546</v>
      </c>
      <c r="AB27" s="58">
        <f>Z27</f>
        <v>591.1854545454546</v>
      </c>
      <c r="AC27" s="58">
        <f>Z27</f>
        <v>591.1854545454546</v>
      </c>
      <c r="AD27" s="59">
        <f>Z27</f>
        <v>591.1854545454546</v>
      </c>
      <c r="AF27" s="55" t="s">
        <v>11</v>
      </c>
      <c r="AG27" s="57">
        <v>1</v>
      </c>
      <c r="AH27" s="58">
        <f>(512.33*$K$2)+0.01</f>
        <v>558.91545454545462</v>
      </c>
      <c r="AI27" s="58">
        <f>AH27</f>
        <v>558.91545454545462</v>
      </c>
      <c r="AJ27" s="58">
        <f>AH27</f>
        <v>558.91545454545462</v>
      </c>
      <c r="AK27" s="58">
        <f>AH27</f>
        <v>558.91545454545462</v>
      </c>
      <c r="AL27" s="59">
        <f>AH27</f>
        <v>558.91545454545462</v>
      </c>
      <c r="AN27" s="68" t="s">
        <v>11</v>
      </c>
      <c r="AO27" s="69">
        <v>1</v>
      </c>
      <c r="AP27" s="70">
        <f>(510.29*$K$2)+0.01</f>
        <v>556.69000000000005</v>
      </c>
      <c r="AQ27" s="70">
        <f>AP27</f>
        <v>556.69000000000005</v>
      </c>
      <c r="AR27" s="70">
        <f>AP27</f>
        <v>556.69000000000005</v>
      </c>
      <c r="AS27" s="70" t="s">
        <v>6</v>
      </c>
      <c r="AT27" s="70">
        <f>AP27</f>
        <v>556.69000000000005</v>
      </c>
      <c r="AU27" s="70">
        <f>AP27</f>
        <v>556.69000000000005</v>
      </c>
      <c r="AV27" s="70">
        <f>AP27</f>
        <v>556.69000000000005</v>
      </c>
      <c r="AW27" s="71">
        <f>AP27</f>
        <v>556.69000000000005</v>
      </c>
      <c r="AY27" s="68" t="s">
        <v>11</v>
      </c>
      <c r="AZ27" s="69">
        <v>1</v>
      </c>
      <c r="BA27" s="70">
        <f>(512.33*$K$2)+0.01</f>
        <v>558.91545454545462</v>
      </c>
      <c r="BB27" s="70">
        <f>BA27</f>
        <v>558.91545454545462</v>
      </c>
      <c r="BC27" s="70">
        <f>BA27</f>
        <v>558.91545454545462</v>
      </c>
      <c r="BD27" s="71">
        <f>BA27</f>
        <v>558.91545454545462</v>
      </c>
      <c r="BF27" s="71"/>
      <c r="BG27" s="71"/>
      <c r="BH27" s="71"/>
      <c r="BI27" s="71"/>
      <c r="BK27" s="68" t="s">
        <v>60</v>
      </c>
      <c r="BL27" s="69">
        <v>1</v>
      </c>
      <c r="BM27" s="70">
        <f>1083.19*$K$2</f>
        <v>1181.6618181818185</v>
      </c>
      <c r="BN27" s="168" t="s">
        <v>6</v>
      </c>
      <c r="BO27" s="168" t="s">
        <v>6</v>
      </c>
      <c r="BP27" s="168" t="s">
        <v>6</v>
      </c>
      <c r="BQ27" s="168" t="s">
        <v>6</v>
      </c>
      <c r="BR27" s="168" t="s">
        <v>6</v>
      </c>
      <c r="BS27" s="168" t="s">
        <v>6</v>
      </c>
      <c r="BT27" s="168" t="s">
        <v>6</v>
      </c>
      <c r="BU27" s="168" t="s">
        <v>6</v>
      </c>
      <c r="BV27" s="168" t="s">
        <v>6</v>
      </c>
      <c r="BW27" s="169" t="s">
        <v>6</v>
      </c>
      <c r="BY27" s="68" t="s">
        <v>92</v>
      </c>
      <c r="BZ27" s="69">
        <v>1</v>
      </c>
      <c r="CA27" s="70">
        <f>382*$K$2*105.6/106.8-0.01</f>
        <v>412.03494382022484</v>
      </c>
      <c r="CB27" s="70">
        <f t="shared" ref="CB27:CP27" si="60">$CA$27</f>
        <v>412.03494382022484</v>
      </c>
      <c r="CC27" s="70">
        <f t="shared" si="60"/>
        <v>412.03494382022484</v>
      </c>
      <c r="CD27" s="70">
        <f t="shared" si="60"/>
        <v>412.03494382022484</v>
      </c>
      <c r="CE27" s="70">
        <f t="shared" si="60"/>
        <v>412.03494382022484</v>
      </c>
      <c r="CF27" s="70">
        <f t="shared" si="60"/>
        <v>412.03494382022484</v>
      </c>
      <c r="CG27" s="69">
        <f t="shared" si="60"/>
        <v>412.03494382022484</v>
      </c>
      <c r="CH27" s="70">
        <f t="shared" si="60"/>
        <v>412.03494382022484</v>
      </c>
      <c r="CI27" s="70">
        <f t="shared" si="60"/>
        <v>412.03494382022484</v>
      </c>
      <c r="CJ27" s="70">
        <f t="shared" si="60"/>
        <v>412.03494382022484</v>
      </c>
      <c r="CK27" s="70">
        <f t="shared" si="60"/>
        <v>412.03494382022484</v>
      </c>
      <c r="CL27" s="70">
        <f t="shared" si="60"/>
        <v>412.03494382022484</v>
      </c>
      <c r="CM27" s="70">
        <f t="shared" si="60"/>
        <v>412.03494382022484</v>
      </c>
      <c r="CN27" s="69">
        <f t="shared" si="60"/>
        <v>412.03494382022484</v>
      </c>
      <c r="CO27" s="70">
        <f t="shared" si="60"/>
        <v>412.03494382022484</v>
      </c>
      <c r="CP27" s="71">
        <f t="shared" si="60"/>
        <v>412.03494382022484</v>
      </c>
      <c r="CR27" s="68" t="s">
        <v>92</v>
      </c>
      <c r="CS27" s="69">
        <v>1</v>
      </c>
      <c r="CT27" s="70">
        <f>382*$K$2*105.6/106.8-0.02</f>
        <v>412.02494382022485</v>
      </c>
      <c r="CU27" s="70">
        <f>CT27</f>
        <v>412.02494382022485</v>
      </c>
      <c r="CV27" s="70">
        <f t="shared" ref="CV27:CZ27" si="61">CU27</f>
        <v>412.02494382022485</v>
      </c>
      <c r="CW27" s="70">
        <f t="shared" si="61"/>
        <v>412.02494382022485</v>
      </c>
      <c r="CX27" s="70">
        <f t="shared" si="61"/>
        <v>412.02494382022485</v>
      </c>
      <c r="CY27" s="70">
        <f t="shared" si="61"/>
        <v>412.02494382022485</v>
      </c>
      <c r="CZ27" s="71">
        <f t="shared" si="61"/>
        <v>412.02494382022485</v>
      </c>
      <c r="DB27" s="68" t="s">
        <v>92</v>
      </c>
      <c r="DC27" s="69">
        <v>1</v>
      </c>
      <c r="DD27" s="70">
        <f>382*$K$2*105.6/106.8-0.02</f>
        <v>412.02494382022485</v>
      </c>
      <c r="DE27" s="70">
        <f>DD27</f>
        <v>412.02494382022485</v>
      </c>
      <c r="DF27" s="70">
        <f t="shared" ref="DF27:DJ27" si="62">DE27</f>
        <v>412.02494382022485</v>
      </c>
      <c r="DG27" s="70">
        <f t="shared" si="62"/>
        <v>412.02494382022485</v>
      </c>
      <c r="DH27" s="70">
        <f t="shared" si="62"/>
        <v>412.02494382022485</v>
      </c>
      <c r="DI27" s="70">
        <f t="shared" si="62"/>
        <v>412.02494382022485</v>
      </c>
      <c r="DJ27" s="71">
        <f t="shared" si="62"/>
        <v>412.02494382022485</v>
      </c>
      <c r="DL27" s="68" t="s">
        <v>92</v>
      </c>
      <c r="DM27" s="69">
        <v>1</v>
      </c>
      <c r="DN27" s="71">
        <f>382*$K$2*105.6/106.8-0.02</f>
        <v>412.02494382022485</v>
      </c>
    </row>
    <row r="28" spans="2:118" ht="28.5" customHeight="1" thickTop="1" thickBot="1">
      <c r="B28" s="313"/>
      <c r="C28" s="314"/>
      <c r="D28" s="315"/>
      <c r="E28" s="316"/>
      <c r="F28" s="316"/>
      <c r="I28" s="206"/>
      <c r="J28" s="207"/>
      <c r="K28" s="208"/>
      <c r="L28" s="209"/>
      <c r="N28" s="206"/>
      <c r="O28" s="207"/>
      <c r="P28" s="210"/>
      <c r="Q28" s="210"/>
      <c r="R28" s="211"/>
      <c r="S28" s="191"/>
      <c r="T28" s="206"/>
      <c r="U28" s="207"/>
      <c r="V28" s="212"/>
      <c r="W28" s="191"/>
      <c r="X28" s="206"/>
      <c r="Y28" s="207"/>
      <c r="Z28" s="210"/>
      <c r="AA28" s="210"/>
      <c r="AB28" s="210"/>
      <c r="AC28" s="210"/>
      <c r="AD28" s="211"/>
      <c r="AF28" s="206"/>
      <c r="AG28" s="207"/>
      <c r="AH28" s="213"/>
      <c r="AI28" s="213"/>
      <c r="AJ28" s="213"/>
      <c r="AK28" s="213"/>
      <c r="AL28" s="212"/>
      <c r="AN28" s="206"/>
      <c r="AO28" s="207"/>
      <c r="AP28" s="213"/>
      <c r="AQ28" s="214"/>
      <c r="AR28" s="215"/>
      <c r="AS28" s="216"/>
      <c r="AT28" s="217"/>
      <c r="AU28" s="218"/>
      <c r="AV28" s="219"/>
      <c r="AW28" s="220"/>
      <c r="AY28" s="206"/>
      <c r="AZ28" s="207"/>
      <c r="BA28" s="213"/>
      <c r="BB28" s="213"/>
      <c r="BC28" s="213"/>
      <c r="BD28" s="212"/>
      <c r="BF28" s="206"/>
      <c r="BG28" s="207"/>
      <c r="BH28" s="213"/>
      <c r="BI28" s="212"/>
      <c r="BK28" s="245" t="s">
        <v>179</v>
      </c>
      <c r="BL28" s="246"/>
      <c r="BM28" s="247">
        <f>SUM(BM10:BM27)</f>
        <v>72509.835454545464</v>
      </c>
      <c r="BN28" s="248"/>
      <c r="BO28" s="247">
        <f>SUM(BO10:BO27)</f>
        <v>73146.824545454554</v>
      </c>
      <c r="BP28" s="248"/>
      <c r="BQ28" s="248"/>
      <c r="BR28" s="248"/>
      <c r="BS28" s="248"/>
      <c r="BT28" s="248"/>
      <c r="BU28" s="249">
        <f>SUM(BU10:BU27)</f>
        <v>51430.182727272731</v>
      </c>
      <c r="BV28" s="248"/>
      <c r="BW28" s="247"/>
      <c r="BY28" s="206"/>
      <c r="BZ28" s="207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R28" s="206"/>
      <c r="CS28" s="240"/>
      <c r="CT28" s="241"/>
      <c r="CU28" s="241"/>
      <c r="CV28" s="241"/>
      <c r="CW28" s="241"/>
      <c r="CX28" s="241"/>
      <c r="CY28" s="241"/>
      <c r="CZ28" s="241"/>
      <c r="DB28" s="206"/>
      <c r="DC28" s="242"/>
      <c r="DD28" s="241"/>
      <c r="DE28" s="241"/>
      <c r="DF28" s="241"/>
      <c r="DG28" s="241"/>
      <c r="DH28" s="241"/>
      <c r="DI28" s="241"/>
      <c r="DJ28" s="241"/>
      <c r="DL28" s="206"/>
      <c r="DM28" s="243"/>
      <c r="DN28" s="244"/>
    </row>
    <row r="29" spans="2:118" ht="43.5" customHeight="1" thickTop="1" thickBot="1">
      <c r="B29" s="171" t="s">
        <v>177</v>
      </c>
      <c r="C29" s="172">
        <v>1</v>
      </c>
      <c r="D29" s="185">
        <v>3815.7</v>
      </c>
      <c r="E29" s="253">
        <v>5327.44</v>
      </c>
      <c r="F29" s="253">
        <f>D29+E29</f>
        <v>9143.14</v>
      </c>
      <c r="I29" s="171" t="s">
        <v>177</v>
      </c>
      <c r="J29" s="172">
        <v>1</v>
      </c>
      <c r="K29" s="185">
        <f>SUM(K10:K27)</f>
        <v>21946.898181818182</v>
      </c>
      <c r="L29" s="186">
        <f>SUM(L10:L27)</f>
        <v>9625.9381818181846</v>
      </c>
      <c r="M29" s="257"/>
      <c r="N29" s="171" t="s">
        <v>177</v>
      </c>
      <c r="O29" s="172"/>
      <c r="P29" s="187">
        <f>SUM(P10:P18)</f>
        <v>21292.954545454548</v>
      </c>
      <c r="Q29" s="187">
        <f>SUM(Q10:Q17)</f>
        <v>8868.7718181818182</v>
      </c>
      <c r="R29" s="188">
        <f>SUM(R10:R18)</f>
        <v>8642.1572727272742</v>
      </c>
      <c r="S29" s="259"/>
      <c r="T29" s="171" t="s">
        <v>177</v>
      </c>
      <c r="U29" s="183">
        <v>1</v>
      </c>
      <c r="V29" s="189">
        <f>SUM(V10:V27)</f>
        <v>9241.1590909090919</v>
      </c>
      <c r="W29" s="259"/>
      <c r="X29" s="171" t="s">
        <v>177</v>
      </c>
      <c r="Y29" s="172">
        <v>1</v>
      </c>
      <c r="Z29" s="187">
        <f>SUM(Z10:Z27)</f>
        <v>17093.415454545458</v>
      </c>
      <c r="AA29" s="187">
        <f>SUM(AA10:AA27)</f>
        <v>15732.874545454546</v>
      </c>
      <c r="AB29" s="187">
        <f>SUM(AB10:AB27)</f>
        <v>15732.874545454546</v>
      </c>
      <c r="AC29" s="187">
        <f>SUM(AC10:AC27)</f>
        <v>17360.882727272729</v>
      </c>
      <c r="AD29" s="188">
        <f>SUM(AD10:AD27)</f>
        <v>10970.717272727274</v>
      </c>
      <c r="AF29" s="171" t="s">
        <v>177</v>
      </c>
      <c r="AG29" s="172">
        <v>1</v>
      </c>
      <c r="AH29" s="184">
        <f>SUM(AH10:AH27)</f>
        <v>31932.091818181823</v>
      </c>
      <c r="AI29" s="184">
        <f>SUM(AI10:AI27)</f>
        <v>11147.346363636367</v>
      </c>
      <c r="AJ29" s="184">
        <f>SUM(AJ10:AJ27)</f>
        <v>23740.04545454546</v>
      </c>
      <c r="AK29" s="184">
        <f>SUM(AK10:AK27)</f>
        <v>13264.657272727276</v>
      </c>
      <c r="AL29" s="189">
        <f>SUM(AL10:AL27)</f>
        <v>10330.95272727273</v>
      </c>
      <c r="AM29" s="257"/>
      <c r="AN29" s="171" t="s">
        <v>177</v>
      </c>
      <c r="AO29" s="172">
        <v>1</v>
      </c>
      <c r="AP29" s="184">
        <f>SUM(AP10:AP27)</f>
        <v>11948.677272727275</v>
      </c>
      <c r="AQ29" s="184">
        <f t="shared" ref="AQ29:AW29" si="63">SUM(AQ10:AQ27)</f>
        <v>10512.402727272729</v>
      </c>
      <c r="AR29" s="184">
        <f t="shared" si="63"/>
        <v>9971.7618181818198</v>
      </c>
      <c r="AS29" s="184">
        <f t="shared" si="63"/>
        <v>137.93181818181819</v>
      </c>
      <c r="AT29" s="184">
        <f t="shared" si="63"/>
        <v>13055.575454545457</v>
      </c>
      <c r="AU29" s="184">
        <f t="shared" si="63"/>
        <v>9971.7618181818198</v>
      </c>
      <c r="AV29" s="184">
        <f t="shared" si="63"/>
        <v>11138.401818181819</v>
      </c>
      <c r="AW29" s="184">
        <f t="shared" si="63"/>
        <v>9971.7618181818198</v>
      </c>
      <c r="AX29" s="257"/>
      <c r="AY29" s="171" t="s">
        <v>177</v>
      </c>
      <c r="AZ29" s="172">
        <v>1</v>
      </c>
      <c r="BA29" s="184">
        <f>SUM(BA10:BA27)</f>
        <v>12151.710000000001</v>
      </c>
      <c r="BB29" s="184">
        <f>SUM(BB10:BB27)</f>
        <v>14862.326363636364</v>
      </c>
      <c r="BC29" s="184">
        <f>SUM(BC10:BC27)</f>
        <v>10950.904545454547</v>
      </c>
      <c r="BD29" s="184">
        <f>SUM(BD10:BD27)</f>
        <v>9628.0772727272742</v>
      </c>
      <c r="BE29" s="257"/>
      <c r="BF29" s="171" t="s">
        <v>177</v>
      </c>
      <c r="BG29" s="172">
        <v>1</v>
      </c>
      <c r="BH29" s="184">
        <f>SUM(BH10:BH19)</f>
        <v>13400.070909090909</v>
      </c>
      <c r="BI29" s="184">
        <f>SUM(BI10:BI19)</f>
        <v>10809.707272727273</v>
      </c>
      <c r="BJ29" s="257"/>
      <c r="BK29" s="329" t="s">
        <v>177</v>
      </c>
      <c r="BL29" s="330">
        <v>1</v>
      </c>
      <c r="BM29" s="251" t="s">
        <v>6</v>
      </c>
      <c r="BN29" s="331">
        <f>SUM(BN10:BN27)</f>
        <v>7229.3954545454553</v>
      </c>
      <c r="BO29" s="331" t="s">
        <v>6</v>
      </c>
      <c r="BP29" s="331">
        <f>SUM(BP10:BP27)</f>
        <v>10517.270000000002</v>
      </c>
      <c r="BQ29" s="331">
        <f>SUM(BQ10:BQ27)</f>
        <v>8993.4981818181823</v>
      </c>
      <c r="BR29" s="331">
        <f>SUM(BR10:BR27)</f>
        <v>18682.915454545458</v>
      </c>
      <c r="BS29" s="331">
        <f>SUM(BS10:BS27)</f>
        <v>16246.580909090912</v>
      </c>
      <c r="BT29" s="331">
        <f>SUM(BT10:BT27)</f>
        <v>17935.442727272726</v>
      </c>
      <c r="BU29" s="251" t="s">
        <v>6</v>
      </c>
      <c r="BV29" s="331">
        <f>SUM(BV10:BV27)</f>
        <v>9481.7463636363645</v>
      </c>
      <c r="BW29" s="331">
        <f>SUM(BW10:BW27)</f>
        <v>9481.7463636363645</v>
      </c>
      <c r="BX29" s="257"/>
      <c r="BY29" s="171" t="s">
        <v>174</v>
      </c>
      <c r="BZ29" s="172">
        <v>1</v>
      </c>
      <c r="CA29" s="184">
        <f t="shared" ref="CA29:CP29" si="64">SUM(CA10:CA27)</f>
        <v>29779.452533851145</v>
      </c>
      <c r="CB29" s="184">
        <f t="shared" si="64"/>
        <v>26664.286466435417</v>
      </c>
      <c r="CC29" s="184">
        <f t="shared" si="64"/>
        <v>35398.117814750025</v>
      </c>
      <c r="CD29" s="184">
        <f t="shared" si="64"/>
        <v>28577.823208008449</v>
      </c>
      <c r="CE29" s="184">
        <f t="shared" si="64"/>
        <v>26187.501073176991</v>
      </c>
      <c r="CF29" s="184">
        <f t="shared" si="64"/>
        <v>28450.583657446652</v>
      </c>
      <c r="CG29" s="184">
        <f t="shared" si="64"/>
        <v>29219.673657446649</v>
      </c>
      <c r="CH29" s="184">
        <f t="shared" si="64"/>
        <v>34139.341297896091</v>
      </c>
      <c r="CI29" s="184">
        <f t="shared" si="64"/>
        <v>28487.28781475002</v>
      </c>
      <c r="CJ29" s="184">
        <f t="shared" si="64"/>
        <v>28487.28781475002</v>
      </c>
      <c r="CK29" s="184">
        <f t="shared" si="64"/>
        <v>27312.604781042155</v>
      </c>
      <c r="CL29" s="184">
        <f t="shared" si="64"/>
        <v>33389.448713626429</v>
      </c>
      <c r="CM29" s="184">
        <f t="shared" si="64"/>
        <v>32317.360286660136</v>
      </c>
      <c r="CN29" s="184">
        <f t="shared" si="64"/>
        <v>30582.858376547778</v>
      </c>
      <c r="CO29" s="184">
        <f t="shared" si="64"/>
        <v>25986.710848457886</v>
      </c>
      <c r="CP29" s="184">
        <f t="shared" si="64"/>
        <v>23472.594781042157</v>
      </c>
      <c r="CR29" s="171" t="s">
        <v>174</v>
      </c>
      <c r="CS29" s="250">
        <v>1</v>
      </c>
      <c r="CT29" s="239">
        <f t="shared" ref="CT29:CZ29" si="65">SUM(CT10:CT27)</f>
        <v>29649.838835546481</v>
      </c>
      <c r="CU29" s="239">
        <f t="shared" si="65"/>
        <v>30387.616588355471</v>
      </c>
      <c r="CV29" s="239">
        <f t="shared" si="65"/>
        <v>33318.323217568948</v>
      </c>
      <c r="CW29" s="239">
        <f t="shared" si="65"/>
        <v>33117.694004085803</v>
      </c>
      <c r="CX29" s="239">
        <f t="shared" si="65"/>
        <v>39171.078610827375</v>
      </c>
      <c r="CY29" s="239">
        <f t="shared" si="65"/>
        <v>31242.987374872326</v>
      </c>
      <c r="CZ29" s="239">
        <f t="shared" si="65"/>
        <v>33389.515577119506</v>
      </c>
      <c r="DB29" s="171" t="s">
        <v>174</v>
      </c>
      <c r="DC29" s="250">
        <v>1</v>
      </c>
      <c r="DD29" s="239">
        <f t="shared" ref="DD29:DJ29" si="66">SUM(DD10:DD27)</f>
        <v>34563.031869254344</v>
      </c>
      <c r="DE29" s="239">
        <f t="shared" si="66"/>
        <v>29197.819734422887</v>
      </c>
      <c r="DF29" s="239">
        <f t="shared" si="66"/>
        <v>34874.762206332998</v>
      </c>
      <c r="DG29" s="239">
        <f t="shared" si="66"/>
        <v>27160.256700715021</v>
      </c>
      <c r="DH29" s="239">
        <f t="shared" si="66"/>
        <v>28141.848386108279</v>
      </c>
      <c r="DI29" s="239">
        <f t="shared" si="66"/>
        <v>24755.940745658841</v>
      </c>
      <c r="DJ29" s="239">
        <f t="shared" si="66"/>
        <v>24755.940745658841</v>
      </c>
      <c r="DL29" s="171" t="s">
        <v>174</v>
      </c>
      <c r="DM29" s="250">
        <v>1</v>
      </c>
      <c r="DN29" s="221">
        <f>SUM(DN10:DN27)</f>
        <v>12620.131869254343</v>
      </c>
    </row>
    <row r="30" spans="2:118" ht="35.25" customHeight="1" thickBot="1">
      <c r="B30" s="43" t="s">
        <v>207</v>
      </c>
      <c r="C30" s="44">
        <v>1</v>
      </c>
      <c r="D30" s="115">
        <f t="shared" ref="D30:E32" si="67">D$29*$C30</f>
        <v>3815.7</v>
      </c>
      <c r="E30" s="170">
        <f t="shared" si="67"/>
        <v>5327.44</v>
      </c>
      <c r="F30" s="170">
        <f>D30+E30</f>
        <v>9143.14</v>
      </c>
      <c r="I30" s="43" t="s">
        <v>209</v>
      </c>
      <c r="J30" s="322">
        <v>1.28</v>
      </c>
      <c r="K30" s="323">
        <f>K29*1.28</f>
        <v>28092.029672727273</v>
      </c>
      <c r="L30" s="326">
        <f>L29*1.28</f>
        <v>12321.200872727277</v>
      </c>
      <c r="M30" s="258"/>
      <c r="N30" s="43" t="s">
        <v>209</v>
      </c>
      <c r="O30" s="322">
        <v>1.28</v>
      </c>
      <c r="P30" s="327">
        <f>((SUM(P10:P17)*$O$30))+(P18*O45)</f>
        <v>23712.758581818183</v>
      </c>
      <c r="Q30" s="326">
        <f>Q29*1.28</f>
        <v>11352.027927272728</v>
      </c>
      <c r="R30" s="326">
        <f>R29*1.28</f>
        <v>11061.961309090912</v>
      </c>
      <c r="S30" s="255"/>
      <c r="T30" s="43" t="s">
        <v>209</v>
      </c>
      <c r="U30" s="322">
        <v>1.28</v>
      </c>
      <c r="V30" s="326">
        <f>V29*1.28</f>
        <v>11828.683636363638</v>
      </c>
      <c r="W30" s="255"/>
      <c r="X30" s="43" t="s">
        <v>209</v>
      </c>
      <c r="Y30" s="322">
        <v>1.28</v>
      </c>
      <c r="Z30" s="326">
        <f>Z29*1.28</f>
        <v>21879.571781818187</v>
      </c>
      <c r="AA30" s="326">
        <f t="shared" ref="AA30:AD30" si="68">AA29*1.28</f>
        <v>20138.07941818182</v>
      </c>
      <c r="AB30" s="326">
        <f t="shared" si="68"/>
        <v>20138.07941818182</v>
      </c>
      <c r="AC30" s="326">
        <f t="shared" si="68"/>
        <v>22221.929890909094</v>
      </c>
      <c r="AD30" s="326">
        <f t="shared" si="68"/>
        <v>14042.51810909091</v>
      </c>
      <c r="AF30" s="43" t="s">
        <v>209</v>
      </c>
      <c r="AG30" s="322">
        <v>1.28</v>
      </c>
      <c r="AH30" s="326">
        <f>AH29*1.28</f>
        <v>40873.077527272733</v>
      </c>
      <c r="AI30" s="326">
        <f t="shared" ref="AI30:AL30" si="69">AI29*1.28</f>
        <v>14268.60334545455</v>
      </c>
      <c r="AJ30" s="326">
        <f t="shared" si="69"/>
        <v>30387.25818181819</v>
      </c>
      <c r="AK30" s="326">
        <f t="shared" si="69"/>
        <v>16978.761309090914</v>
      </c>
      <c r="AL30" s="326">
        <f t="shared" si="69"/>
        <v>13223.619490909095</v>
      </c>
      <c r="AM30" s="258"/>
      <c r="AN30" s="328" t="s">
        <v>209</v>
      </c>
      <c r="AO30" s="322">
        <v>1.28</v>
      </c>
      <c r="AP30" s="326">
        <f>AP29*1.28</f>
        <v>15294.306909090912</v>
      </c>
      <c r="AQ30" s="326">
        <f t="shared" ref="AQ30:AW30" si="70">AQ29*1.28</f>
        <v>13455.875490909093</v>
      </c>
      <c r="AR30" s="326">
        <f t="shared" si="70"/>
        <v>12763.855127272729</v>
      </c>
      <c r="AS30" s="326">
        <f t="shared" si="70"/>
        <v>176.55272727272728</v>
      </c>
      <c r="AT30" s="326">
        <f t="shared" si="70"/>
        <v>16711.136581818184</v>
      </c>
      <c r="AU30" s="326">
        <f t="shared" si="70"/>
        <v>12763.855127272729</v>
      </c>
      <c r="AV30" s="326">
        <f t="shared" si="70"/>
        <v>14257.154327272729</v>
      </c>
      <c r="AW30" s="326">
        <f t="shared" si="70"/>
        <v>12763.855127272729</v>
      </c>
      <c r="AX30" s="258"/>
      <c r="AY30" s="43" t="s">
        <v>209</v>
      </c>
      <c r="AZ30" s="322">
        <v>1.28</v>
      </c>
      <c r="BA30" s="326">
        <f>BA29*1.28</f>
        <v>15554.188800000002</v>
      </c>
      <c r="BB30" s="326">
        <f t="shared" ref="BB30:BD30" si="71">BB29*1.28</f>
        <v>19023.777745454547</v>
      </c>
      <c r="BC30" s="326">
        <f t="shared" si="71"/>
        <v>14017.15781818182</v>
      </c>
      <c r="BD30" s="326">
        <f t="shared" si="71"/>
        <v>12323.938909090912</v>
      </c>
      <c r="BE30" s="258"/>
      <c r="BF30" s="328" t="s">
        <v>209</v>
      </c>
      <c r="BG30" s="322">
        <v>1.28</v>
      </c>
      <c r="BH30" s="326">
        <f>BH29*1.28</f>
        <v>17152.090763636363</v>
      </c>
      <c r="BI30" s="326">
        <f>BI29*1.28</f>
        <v>13836.42530909091</v>
      </c>
      <c r="BJ30" s="258"/>
      <c r="BK30" s="328" t="s">
        <v>209</v>
      </c>
      <c r="BL30" s="322">
        <v>1.28</v>
      </c>
      <c r="BM30" s="252" t="s">
        <v>6</v>
      </c>
      <c r="BN30" s="326">
        <f>BN29*1.28</f>
        <v>9253.6261818181829</v>
      </c>
      <c r="BO30" s="252" t="s">
        <v>6</v>
      </c>
      <c r="BP30" s="326">
        <f t="shared" ref="BP30:BW30" si="72">BP29*1.28</f>
        <v>13462.105600000003</v>
      </c>
      <c r="BQ30" s="326">
        <f t="shared" si="72"/>
        <v>11511.677672727274</v>
      </c>
      <c r="BR30" s="326">
        <f t="shared" si="72"/>
        <v>23914.131781818189</v>
      </c>
      <c r="BS30" s="326">
        <f t="shared" si="72"/>
        <v>20795.623563636367</v>
      </c>
      <c r="BT30" s="326">
        <f t="shared" si="72"/>
        <v>22957.36669090909</v>
      </c>
      <c r="BU30" s="252" t="s">
        <v>6</v>
      </c>
      <c r="BV30" s="326">
        <f t="shared" si="72"/>
        <v>12136.635345454546</v>
      </c>
      <c r="BW30" s="326">
        <f t="shared" si="72"/>
        <v>12136.635345454546</v>
      </c>
      <c r="BX30" s="258"/>
      <c r="BY30" s="43" t="s">
        <v>173</v>
      </c>
      <c r="BZ30" s="128">
        <v>0.83</v>
      </c>
      <c r="CA30" s="200">
        <f t="shared" ref="CA30:CP33" si="73">CA$29*$BZ30</f>
        <v>24716.94560309645</v>
      </c>
      <c r="CB30" s="200">
        <f t="shared" si="73"/>
        <v>22131.357767141395</v>
      </c>
      <c r="CC30" s="200">
        <f t="shared" si="73"/>
        <v>29380.437786242521</v>
      </c>
      <c r="CD30" s="200">
        <f t="shared" si="73"/>
        <v>23719.593262647013</v>
      </c>
      <c r="CE30" s="200">
        <f t="shared" si="73"/>
        <v>21735.625890736901</v>
      </c>
      <c r="CF30" s="200">
        <f t="shared" si="73"/>
        <v>23613.984435680719</v>
      </c>
      <c r="CG30" s="200">
        <f t="shared" si="73"/>
        <v>24252.329135680717</v>
      </c>
      <c r="CH30" s="200">
        <f t="shared" si="73"/>
        <v>28335.653277253754</v>
      </c>
      <c r="CI30" s="200">
        <f t="shared" si="73"/>
        <v>23644.448886242517</v>
      </c>
      <c r="CJ30" s="200">
        <f t="shared" si="73"/>
        <v>23644.448886242517</v>
      </c>
      <c r="CK30" s="200">
        <f t="shared" si="73"/>
        <v>22669.461968264986</v>
      </c>
      <c r="CL30" s="200">
        <f t="shared" si="73"/>
        <v>27713.242432309933</v>
      </c>
      <c r="CM30" s="200">
        <f t="shared" si="73"/>
        <v>26823.409037927911</v>
      </c>
      <c r="CN30" s="200">
        <f t="shared" si="73"/>
        <v>25383.772452534653</v>
      </c>
      <c r="CO30" s="200">
        <f t="shared" si="73"/>
        <v>21568.970004220046</v>
      </c>
      <c r="CP30" s="200">
        <f t="shared" si="73"/>
        <v>19482.253668264988</v>
      </c>
      <c r="CR30" s="43" t="s">
        <v>173</v>
      </c>
      <c r="CS30" s="128">
        <v>0.83</v>
      </c>
      <c r="CT30" s="200">
        <f t="shared" ref="CT30:CZ33" si="74">CT$29*$CS30</f>
        <v>24609.366233503577</v>
      </c>
      <c r="CU30" s="200">
        <f t="shared" si="74"/>
        <v>25221.721768335039</v>
      </c>
      <c r="CV30" s="200">
        <f t="shared" si="74"/>
        <v>27654.208270582225</v>
      </c>
      <c r="CW30" s="200">
        <f t="shared" si="74"/>
        <v>27487.686023391216</v>
      </c>
      <c r="CX30" s="200">
        <f t="shared" si="74"/>
        <v>32511.99524698672</v>
      </c>
      <c r="CY30" s="200">
        <f t="shared" si="74"/>
        <v>25931.679521144029</v>
      </c>
      <c r="CZ30" s="200">
        <f t="shared" si="74"/>
        <v>27713.29792900919</v>
      </c>
      <c r="DB30" s="43" t="s">
        <v>173</v>
      </c>
      <c r="DC30" s="128">
        <v>0.83</v>
      </c>
      <c r="DD30" s="200">
        <f t="shared" ref="DD30:DJ33" si="75">DD$29*$DC30</f>
        <v>28687.316451481103</v>
      </c>
      <c r="DE30" s="200">
        <f t="shared" si="75"/>
        <v>24234.190379570995</v>
      </c>
      <c r="DF30" s="200">
        <f t="shared" si="75"/>
        <v>28946.052631256389</v>
      </c>
      <c r="DG30" s="200">
        <f t="shared" si="75"/>
        <v>22543.013061593465</v>
      </c>
      <c r="DH30" s="200">
        <f t="shared" si="75"/>
        <v>23357.73416046987</v>
      </c>
      <c r="DI30" s="200">
        <f t="shared" si="75"/>
        <v>20547.430818896839</v>
      </c>
      <c r="DJ30" s="200">
        <f t="shared" si="75"/>
        <v>20547.430818896839</v>
      </c>
      <c r="DL30" s="43" t="s">
        <v>173</v>
      </c>
      <c r="DM30" s="128">
        <v>0.83</v>
      </c>
      <c r="DN30" s="200">
        <f>DN$29*$DM30</f>
        <v>10474.709451481103</v>
      </c>
    </row>
    <row r="31" spans="2:118" ht="35.25" customHeight="1" thickBot="1">
      <c r="B31" s="43" t="s">
        <v>200</v>
      </c>
      <c r="C31" s="44">
        <v>0.75</v>
      </c>
      <c r="D31" s="115">
        <f t="shared" si="67"/>
        <v>2861.7749999999996</v>
      </c>
      <c r="E31" s="170">
        <f t="shared" si="67"/>
        <v>3995.58</v>
      </c>
      <c r="F31" s="170">
        <f t="shared" ref="F31:F32" si="76">D31+E31</f>
        <v>6857.3549999999996</v>
      </c>
      <c r="G31" s="296"/>
      <c r="I31" s="43" t="s">
        <v>173</v>
      </c>
      <c r="J31" s="324">
        <v>1</v>
      </c>
      <c r="K31" s="325">
        <f>K29</f>
        <v>21946.898181818182</v>
      </c>
      <c r="L31" s="325">
        <f>L29</f>
        <v>9625.9381818181846</v>
      </c>
      <c r="M31" s="256"/>
      <c r="N31" s="43" t="s">
        <v>173</v>
      </c>
      <c r="O31" s="324">
        <v>1</v>
      </c>
      <c r="P31" s="327">
        <f>((SUM(P14:P17)+SUM(P10:P13))*$O$31)+(P18*O44)</f>
        <v>16865.175500000005</v>
      </c>
      <c r="Q31" s="327">
        <f>SUM(Q10:Q17)</f>
        <v>8868.7718181818182</v>
      </c>
      <c r="R31" s="327">
        <f>R29*O31</f>
        <v>8642.1572727272742</v>
      </c>
      <c r="S31" s="191"/>
      <c r="T31" s="43" t="s">
        <v>173</v>
      </c>
      <c r="U31" s="324">
        <f>U29</f>
        <v>1</v>
      </c>
      <c r="V31" s="327">
        <f>V29</f>
        <v>9241.1590909090919</v>
      </c>
      <c r="W31" s="191"/>
      <c r="X31" s="43" t="s">
        <v>173</v>
      </c>
      <c r="Y31" s="324">
        <v>1</v>
      </c>
      <c r="Z31" s="327">
        <f t="shared" ref="Z31:AD34" si="77">Z$29*$J31</f>
        <v>17093.415454545458</v>
      </c>
      <c r="AA31" s="327">
        <f t="shared" si="77"/>
        <v>15732.874545454546</v>
      </c>
      <c r="AB31" s="327">
        <f t="shared" si="77"/>
        <v>15732.874545454546</v>
      </c>
      <c r="AC31" s="327">
        <f t="shared" si="77"/>
        <v>17360.882727272729</v>
      </c>
      <c r="AD31" s="327">
        <f t="shared" si="77"/>
        <v>10970.717272727274</v>
      </c>
      <c r="AF31" s="43" t="s">
        <v>173</v>
      </c>
      <c r="AG31" s="324">
        <v>1</v>
      </c>
      <c r="AH31" s="327">
        <f t="shared" ref="AH31:AL34" si="78">AH$29*$AG31</f>
        <v>31932.091818181823</v>
      </c>
      <c r="AI31" s="327">
        <f t="shared" si="78"/>
        <v>11147.346363636367</v>
      </c>
      <c r="AJ31" s="327">
        <f t="shared" si="78"/>
        <v>23740.04545454546</v>
      </c>
      <c r="AK31" s="327">
        <f t="shared" si="78"/>
        <v>13264.657272727276</v>
      </c>
      <c r="AL31" s="327">
        <f t="shared" si="78"/>
        <v>10330.95272727273</v>
      </c>
      <c r="AN31" s="328" t="s">
        <v>173</v>
      </c>
      <c r="AO31" s="324">
        <v>1</v>
      </c>
      <c r="AP31" s="327">
        <f t="shared" ref="AP31:AR34" si="79">AP$29*$AO31</f>
        <v>11948.677272727275</v>
      </c>
      <c r="AQ31" s="327">
        <f t="shared" si="79"/>
        <v>10512.402727272729</v>
      </c>
      <c r="AR31" s="327">
        <f t="shared" si="79"/>
        <v>9971.7618181818198</v>
      </c>
      <c r="AS31" s="327"/>
      <c r="AT31" s="327">
        <f>AT$29*$AO31</f>
        <v>13055.575454545457</v>
      </c>
      <c r="AU31" s="327"/>
      <c r="AV31" s="327">
        <f t="shared" ref="AV31:AW34" si="80">AV$29*$AO31</f>
        <v>11138.401818181819</v>
      </c>
      <c r="AW31" s="327">
        <f t="shared" si="80"/>
        <v>9971.7618181818198</v>
      </c>
      <c r="AY31" s="43" t="s">
        <v>173</v>
      </c>
      <c r="AZ31" s="324">
        <v>1</v>
      </c>
      <c r="BA31" s="327">
        <f t="shared" ref="BA31:BD34" si="81">BA$29*$AZ31</f>
        <v>12151.710000000001</v>
      </c>
      <c r="BB31" s="327">
        <f t="shared" si="81"/>
        <v>14862.326363636364</v>
      </c>
      <c r="BC31" s="327">
        <f t="shared" si="81"/>
        <v>10950.904545454547</v>
      </c>
      <c r="BD31" s="327">
        <f t="shared" si="81"/>
        <v>9628.0772727272742</v>
      </c>
      <c r="BF31" s="328" t="s">
        <v>173</v>
      </c>
      <c r="BG31" s="324">
        <v>1</v>
      </c>
      <c r="BH31" s="327">
        <f t="shared" ref="BH31:BI34" si="82">BH$29*$BG31</f>
        <v>13400.070909090909</v>
      </c>
      <c r="BI31" s="327">
        <f t="shared" si="82"/>
        <v>10809.707272727273</v>
      </c>
      <c r="BK31" s="328" t="s">
        <v>173</v>
      </c>
      <c r="BL31" s="324">
        <v>1</v>
      </c>
      <c r="BM31" s="252" t="s">
        <v>6</v>
      </c>
      <c r="BN31" s="327">
        <f>$BL31*BN$29</f>
        <v>7229.3954545454553</v>
      </c>
      <c r="BO31" s="252" t="s">
        <v>6</v>
      </c>
      <c r="BP31" s="327">
        <f t="shared" ref="BP31:BT33" si="83">$BL31*BP$29</f>
        <v>10517.270000000002</v>
      </c>
      <c r="BQ31" s="327">
        <f t="shared" si="83"/>
        <v>8993.4981818181823</v>
      </c>
      <c r="BR31" s="327">
        <f t="shared" si="83"/>
        <v>18682.915454545458</v>
      </c>
      <c r="BS31" s="327">
        <f t="shared" si="83"/>
        <v>16246.580909090912</v>
      </c>
      <c r="BT31" s="327">
        <f t="shared" si="83"/>
        <v>17935.442727272726</v>
      </c>
      <c r="BU31" s="252" t="s">
        <v>6</v>
      </c>
      <c r="BV31" s="327">
        <f t="shared" ref="BV31:BW33" si="84">$BL31*BV$29</f>
        <v>9481.7463636363645</v>
      </c>
      <c r="BW31" s="327">
        <f t="shared" si="84"/>
        <v>9481.7463636363645</v>
      </c>
      <c r="BY31" s="43" t="s">
        <v>152</v>
      </c>
      <c r="BZ31" s="44">
        <v>0.56999999999999995</v>
      </c>
      <c r="CA31" s="200">
        <f t="shared" si="73"/>
        <v>16974.287944295153</v>
      </c>
      <c r="CB31" s="200">
        <f t="shared" si="73"/>
        <v>15198.643285868186</v>
      </c>
      <c r="CC31" s="200">
        <f t="shared" si="73"/>
        <v>20176.927154407513</v>
      </c>
      <c r="CD31" s="200">
        <f t="shared" si="73"/>
        <v>16289.359228564814</v>
      </c>
      <c r="CE31" s="200">
        <f t="shared" si="73"/>
        <v>14926.875611710884</v>
      </c>
      <c r="CF31" s="200">
        <f t="shared" si="73"/>
        <v>16216.83268474459</v>
      </c>
      <c r="CG31" s="200">
        <f t="shared" si="73"/>
        <v>16655.213984744587</v>
      </c>
      <c r="CH31" s="200">
        <f t="shared" si="73"/>
        <v>19459.42453980077</v>
      </c>
      <c r="CI31" s="200">
        <f t="shared" si="73"/>
        <v>16237.754054407509</v>
      </c>
      <c r="CJ31" s="200">
        <f t="shared" si="73"/>
        <v>16237.754054407509</v>
      </c>
      <c r="CK31" s="200">
        <f t="shared" si="73"/>
        <v>15568.184725194027</v>
      </c>
      <c r="CL31" s="200">
        <f t="shared" si="73"/>
        <v>19031.985766767062</v>
      </c>
      <c r="CM31" s="200">
        <f t="shared" si="73"/>
        <v>18420.895363396277</v>
      </c>
      <c r="CN31" s="200">
        <f t="shared" si="73"/>
        <v>17432.229274632231</v>
      </c>
      <c r="CO31" s="200">
        <f t="shared" si="73"/>
        <v>14812.425183620993</v>
      </c>
      <c r="CP31" s="200">
        <f t="shared" si="73"/>
        <v>13379.379025194028</v>
      </c>
      <c r="CR31" s="43" t="s">
        <v>152</v>
      </c>
      <c r="CS31" s="44">
        <v>0.56999999999999995</v>
      </c>
      <c r="CT31" s="200">
        <f t="shared" si="74"/>
        <v>16900.408136261492</v>
      </c>
      <c r="CU31" s="200">
        <f t="shared" si="74"/>
        <v>17320.941455362616</v>
      </c>
      <c r="CV31" s="200">
        <f t="shared" si="74"/>
        <v>18991.4442340143</v>
      </c>
      <c r="CW31" s="200">
        <f t="shared" si="74"/>
        <v>18877.085582328906</v>
      </c>
      <c r="CX31" s="200">
        <f t="shared" si="74"/>
        <v>22327.514808171603</v>
      </c>
      <c r="CY31" s="200">
        <f t="shared" si="74"/>
        <v>17808.502803677224</v>
      </c>
      <c r="CZ31" s="200">
        <f t="shared" si="74"/>
        <v>19032.023878958116</v>
      </c>
      <c r="DB31" s="43" t="s">
        <v>152</v>
      </c>
      <c r="DC31" s="44">
        <v>0.56999999999999995</v>
      </c>
      <c r="DD31" s="200">
        <f t="shared" si="75"/>
        <v>19700.928165474976</v>
      </c>
      <c r="DE31" s="200">
        <f t="shared" si="75"/>
        <v>16642.757248621045</v>
      </c>
      <c r="DF31" s="200">
        <f t="shared" si="75"/>
        <v>19878.614457609809</v>
      </c>
      <c r="DG31" s="200">
        <f t="shared" si="75"/>
        <v>15481.346319407561</v>
      </c>
      <c r="DH31" s="200">
        <f t="shared" si="75"/>
        <v>16040.853580081717</v>
      </c>
      <c r="DI31" s="200">
        <f t="shared" si="75"/>
        <v>14110.886225025539</v>
      </c>
      <c r="DJ31" s="200">
        <f t="shared" si="75"/>
        <v>14110.886225025539</v>
      </c>
      <c r="DL31" s="43" t="s">
        <v>152</v>
      </c>
      <c r="DM31" s="44">
        <v>0.56999999999999995</v>
      </c>
      <c r="DN31" s="200">
        <f>DN$29*$DM31</f>
        <v>7193.4751654749743</v>
      </c>
    </row>
    <row r="32" spans="2:118" ht="35.25" customHeight="1" thickBot="1">
      <c r="B32" s="40" t="s">
        <v>201</v>
      </c>
      <c r="C32" s="41">
        <v>0.5</v>
      </c>
      <c r="D32" s="115">
        <f t="shared" si="67"/>
        <v>1907.85</v>
      </c>
      <c r="E32" s="170">
        <f t="shared" si="67"/>
        <v>2663.72</v>
      </c>
      <c r="F32" s="170">
        <f t="shared" si="76"/>
        <v>4571.57</v>
      </c>
      <c r="G32" s="296"/>
      <c r="I32" s="43" t="s">
        <v>152</v>
      </c>
      <c r="J32" s="44">
        <v>0.73</v>
      </c>
      <c r="K32" s="115">
        <f>J32*$K$29</f>
        <v>16021.235672727273</v>
      </c>
      <c r="L32" s="170">
        <f>$L$29*J32</f>
        <v>7026.9348727272745</v>
      </c>
      <c r="N32" s="43" t="s">
        <v>152</v>
      </c>
      <c r="O32" s="324">
        <v>0.73</v>
      </c>
      <c r="P32" s="327">
        <f>((SUM(P14:P17)+SUM(P10:P13))*$O$32)+(P18*O43)</f>
        <v>12634.173445454548</v>
      </c>
      <c r="Q32" s="327">
        <f>Q29*0.73</f>
        <v>6474.2034272727269</v>
      </c>
      <c r="R32" s="327">
        <f>R29*O32</f>
        <v>6308.7748090909099</v>
      </c>
      <c r="S32" s="191"/>
      <c r="T32" s="43" t="s">
        <v>152</v>
      </c>
      <c r="U32" s="44">
        <v>0.73</v>
      </c>
      <c r="V32" s="173">
        <f>V29*U32</f>
        <v>6746.0461363636368</v>
      </c>
      <c r="W32" s="191"/>
      <c r="X32" s="43" t="s">
        <v>152</v>
      </c>
      <c r="Y32" s="44">
        <v>0.73</v>
      </c>
      <c r="Z32" s="45">
        <f t="shared" si="77"/>
        <v>12478.193281818185</v>
      </c>
      <c r="AA32" s="45">
        <f t="shared" si="77"/>
        <v>11484.998418181818</v>
      </c>
      <c r="AB32" s="45">
        <f t="shared" si="77"/>
        <v>11484.998418181818</v>
      </c>
      <c r="AC32" s="45">
        <f t="shared" si="77"/>
        <v>12673.444390909091</v>
      </c>
      <c r="AD32" s="173">
        <f t="shared" si="77"/>
        <v>8008.6236090909097</v>
      </c>
      <c r="AF32" s="43" t="s">
        <v>152</v>
      </c>
      <c r="AG32" s="324">
        <v>0.73</v>
      </c>
      <c r="AH32" s="327">
        <f t="shared" si="78"/>
        <v>23310.42702727273</v>
      </c>
      <c r="AI32" s="327">
        <f t="shared" si="78"/>
        <v>8137.5628454545476</v>
      </c>
      <c r="AJ32" s="327">
        <f t="shared" si="78"/>
        <v>17330.233181818185</v>
      </c>
      <c r="AK32" s="327">
        <f t="shared" si="78"/>
        <v>9683.199809090911</v>
      </c>
      <c r="AL32" s="327">
        <f t="shared" si="78"/>
        <v>7541.5954909090924</v>
      </c>
      <c r="AN32" s="43" t="s">
        <v>152</v>
      </c>
      <c r="AO32" s="44">
        <v>0.73</v>
      </c>
      <c r="AP32" s="45">
        <f t="shared" si="79"/>
        <v>8722.5344090909111</v>
      </c>
      <c r="AQ32" s="45">
        <f t="shared" si="79"/>
        <v>7674.0539909090921</v>
      </c>
      <c r="AR32" s="45">
        <f t="shared" si="79"/>
        <v>7279.3861272727281</v>
      </c>
      <c r="AS32" s="45"/>
      <c r="AT32" s="45">
        <f>AT$29*$AO32</f>
        <v>9530.5700818181831</v>
      </c>
      <c r="AU32" s="45"/>
      <c r="AV32" s="45">
        <f t="shared" si="80"/>
        <v>8131.0333272727275</v>
      </c>
      <c r="AW32" s="173">
        <f t="shared" si="80"/>
        <v>7279.3861272727281</v>
      </c>
      <c r="AY32" s="43" t="s">
        <v>152</v>
      </c>
      <c r="AZ32" s="44">
        <v>0.73</v>
      </c>
      <c r="BA32" s="45">
        <f t="shared" si="81"/>
        <v>8870.7483000000011</v>
      </c>
      <c r="BB32" s="45">
        <f t="shared" si="81"/>
        <v>10849.498245454546</v>
      </c>
      <c r="BC32" s="45">
        <f t="shared" si="81"/>
        <v>7994.1603181818191</v>
      </c>
      <c r="BD32" s="173">
        <f t="shared" si="81"/>
        <v>7028.4964090909098</v>
      </c>
      <c r="BF32" s="328" t="s">
        <v>152</v>
      </c>
      <c r="BG32" s="324">
        <v>0.73</v>
      </c>
      <c r="BH32" s="327">
        <f t="shared" si="82"/>
        <v>9782.0517636363638</v>
      </c>
      <c r="BI32" s="327">
        <f t="shared" si="82"/>
        <v>7891.0863090909097</v>
      </c>
      <c r="BK32" s="43" t="s">
        <v>152</v>
      </c>
      <c r="BL32" s="44">
        <v>0.73</v>
      </c>
      <c r="BM32" s="252" t="s">
        <v>6</v>
      </c>
      <c r="BN32" s="45">
        <f>$BL32*BN$29</f>
        <v>5277.4586818181824</v>
      </c>
      <c r="BO32" s="252" t="s">
        <v>6</v>
      </c>
      <c r="BP32" s="45">
        <f t="shared" si="83"/>
        <v>7677.6071000000011</v>
      </c>
      <c r="BQ32" s="45">
        <f t="shared" si="83"/>
        <v>6565.2536727272727</v>
      </c>
      <c r="BR32" s="45">
        <f t="shared" si="83"/>
        <v>13638.528281818184</v>
      </c>
      <c r="BS32" s="45">
        <f t="shared" si="83"/>
        <v>11860.004063636365</v>
      </c>
      <c r="BT32" s="45">
        <f t="shared" si="83"/>
        <v>13092.873190909089</v>
      </c>
      <c r="BU32" s="252" t="s">
        <v>6</v>
      </c>
      <c r="BV32" s="45">
        <f t="shared" si="84"/>
        <v>6921.6748454545459</v>
      </c>
      <c r="BW32" s="24">
        <f t="shared" si="84"/>
        <v>6921.6748454545459</v>
      </c>
      <c r="BY32" s="40" t="s">
        <v>153</v>
      </c>
      <c r="BZ32" s="41">
        <v>0.43</v>
      </c>
      <c r="CA32" s="200">
        <f t="shared" si="73"/>
        <v>12805.164589555992</v>
      </c>
      <c r="CB32" s="200">
        <f t="shared" si="73"/>
        <v>11465.643180567229</v>
      </c>
      <c r="CC32" s="200">
        <f t="shared" si="73"/>
        <v>15221.19066034251</v>
      </c>
      <c r="CD32" s="200">
        <f t="shared" si="73"/>
        <v>12288.463979443633</v>
      </c>
      <c r="CE32" s="200">
        <f t="shared" si="73"/>
        <v>11260.625461466107</v>
      </c>
      <c r="CF32" s="200">
        <f t="shared" si="73"/>
        <v>12233.750972702061</v>
      </c>
      <c r="CG32" s="200">
        <f t="shared" si="73"/>
        <v>12564.459672702058</v>
      </c>
      <c r="CH32" s="200">
        <f t="shared" si="73"/>
        <v>14679.91675809532</v>
      </c>
      <c r="CI32" s="200">
        <f t="shared" si="73"/>
        <v>12249.533760342509</v>
      </c>
      <c r="CJ32" s="200">
        <f t="shared" si="73"/>
        <v>12249.533760342509</v>
      </c>
      <c r="CK32" s="200">
        <f t="shared" si="73"/>
        <v>11744.420055848126</v>
      </c>
      <c r="CL32" s="200">
        <f t="shared" si="73"/>
        <v>14357.462946859365</v>
      </c>
      <c r="CM32" s="200">
        <f t="shared" si="73"/>
        <v>13896.464923263859</v>
      </c>
      <c r="CN32" s="200">
        <f t="shared" si="73"/>
        <v>13150.629101915545</v>
      </c>
      <c r="CO32" s="200">
        <f t="shared" si="73"/>
        <v>11174.285664836891</v>
      </c>
      <c r="CP32" s="200">
        <f t="shared" si="73"/>
        <v>10093.215755848127</v>
      </c>
      <c r="CR32" s="40" t="s">
        <v>153</v>
      </c>
      <c r="CS32" s="41">
        <v>0.43</v>
      </c>
      <c r="CT32" s="200">
        <f t="shared" si="74"/>
        <v>12749.430699284987</v>
      </c>
      <c r="CU32" s="200">
        <f t="shared" si="74"/>
        <v>13066.675132992852</v>
      </c>
      <c r="CV32" s="200">
        <f t="shared" si="74"/>
        <v>14326.878983554647</v>
      </c>
      <c r="CW32" s="200">
        <f t="shared" si="74"/>
        <v>14240.608421756895</v>
      </c>
      <c r="CX32" s="200">
        <f t="shared" si="74"/>
        <v>16843.563802655772</v>
      </c>
      <c r="CY32" s="200">
        <f t="shared" si="74"/>
        <v>13434.4845711951</v>
      </c>
      <c r="CZ32" s="200">
        <f t="shared" si="74"/>
        <v>14357.491698161388</v>
      </c>
      <c r="DB32" s="40" t="s">
        <v>153</v>
      </c>
      <c r="DC32" s="41">
        <v>0.43</v>
      </c>
      <c r="DD32" s="200">
        <f t="shared" si="75"/>
        <v>14862.103703779369</v>
      </c>
      <c r="DE32" s="200">
        <f t="shared" si="75"/>
        <v>12555.062485801842</v>
      </c>
      <c r="DF32" s="200">
        <f t="shared" si="75"/>
        <v>14996.14774872319</v>
      </c>
      <c r="DG32" s="200">
        <f t="shared" si="75"/>
        <v>11678.910381307458</v>
      </c>
      <c r="DH32" s="200">
        <f t="shared" si="75"/>
        <v>12100.99480602656</v>
      </c>
      <c r="DI32" s="200">
        <f t="shared" si="75"/>
        <v>10645.054520633301</v>
      </c>
      <c r="DJ32" s="200">
        <f t="shared" si="75"/>
        <v>10645.054520633301</v>
      </c>
      <c r="DL32" s="40" t="s">
        <v>153</v>
      </c>
      <c r="DM32" s="41">
        <v>0.43</v>
      </c>
      <c r="DN32" s="200">
        <f>DN$29*$DM32</f>
        <v>5426.6567037793675</v>
      </c>
    </row>
    <row r="33" spans="2:118" ht="35.25" customHeight="1" thickBot="1">
      <c r="I33" s="40" t="s">
        <v>153</v>
      </c>
      <c r="J33" s="41">
        <v>0.52</v>
      </c>
      <c r="K33" s="115">
        <f>J33*$K$29</f>
        <v>11412.387054545456</v>
      </c>
      <c r="L33" s="170">
        <f>$L$29*J33</f>
        <v>5005.4878545454558</v>
      </c>
      <c r="N33" s="40" t="s">
        <v>153</v>
      </c>
      <c r="O33" s="41">
        <v>0.52</v>
      </c>
      <c r="P33" s="42">
        <f>((SUM(P14:P17)+SUM(P10:P13))*$O$33)+(P18*O42)</f>
        <v>8289.1609636363646</v>
      </c>
      <c r="Q33" s="42">
        <f>Q29*0.52</f>
        <v>4611.7613454545453</v>
      </c>
      <c r="R33" s="173">
        <f>R29*O33</f>
        <v>4493.9217818181824</v>
      </c>
      <c r="S33" s="191"/>
      <c r="T33" s="43" t="s">
        <v>153</v>
      </c>
      <c r="U33" s="44">
        <v>0.52</v>
      </c>
      <c r="V33" s="173">
        <f>V29*U33</f>
        <v>4805.402727272728</v>
      </c>
      <c r="W33" s="191"/>
      <c r="X33" s="40" t="s">
        <v>153</v>
      </c>
      <c r="Y33" s="41">
        <v>0.52</v>
      </c>
      <c r="Z33" s="45">
        <f t="shared" si="77"/>
        <v>8888.5760363636382</v>
      </c>
      <c r="AA33" s="45">
        <f t="shared" si="77"/>
        <v>8181.0947636363644</v>
      </c>
      <c r="AB33" s="45">
        <f t="shared" si="77"/>
        <v>8181.0947636363644</v>
      </c>
      <c r="AC33" s="45">
        <f t="shared" si="77"/>
        <v>9027.6590181818192</v>
      </c>
      <c r="AD33" s="173">
        <f t="shared" si="77"/>
        <v>5704.7729818181824</v>
      </c>
      <c r="AF33" s="40" t="s">
        <v>153</v>
      </c>
      <c r="AG33" s="41">
        <v>0.52</v>
      </c>
      <c r="AH33" s="45">
        <f t="shared" si="78"/>
        <v>16604.68774545455</v>
      </c>
      <c r="AI33" s="45">
        <f t="shared" si="78"/>
        <v>5796.6201090909108</v>
      </c>
      <c r="AJ33" s="45">
        <f t="shared" si="78"/>
        <v>12344.823636363639</v>
      </c>
      <c r="AK33" s="45">
        <f t="shared" si="78"/>
        <v>6897.621781818184</v>
      </c>
      <c r="AL33" s="173">
        <f t="shared" si="78"/>
        <v>5372.0954181818197</v>
      </c>
      <c r="AN33" s="40" t="s">
        <v>153</v>
      </c>
      <c r="AO33" s="41">
        <v>0.52</v>
      </c>
      <c r="AP33" s="45">
        <f t="shared" si="79"/>
        <v>6213.3121818181826</v>
      </c>
      <c r="AQ33" s="45">
        <f t="shared" si="79"/>
        <v>5466.4494181818191</v>
      </c>
      <c r="AR33" s="45">
        <f t="shared" si="79"/>
        <v>5185.3161454545461</v>
      </c>
      <c r="AS33" s="45"/>
      <c r="AT33" s="45">
        <f>AT$29*$AO33</f>
        <v>6788.899236363638</v>
      </c>
      <c r="AU33" s="45"/>
      <c r="AV33" s="45">
        <f t="shared" si="80"/>
        <v>5791.968945454546</v>
      </c>
      <c r="AW33" s="173">
        <f t="shared" si="80"/>
        <v>5185.3161454545461</v>
      </c>
      <c r="AY33" s="40" t="s">
        <v>153</v>
      </c>
      <c r="AZ33" s="41">
        <v>0.52</v>
      </c>
      <c r="BA33" s="45">
        <f t="shared" si="81"/>
        <v>6318.8892000000005</v>
      </c>
      <c r="BB33" s="45">
        <f t="shared" si="81"/>
        <v>7728.4097090909099</v>
      </c>
      <c r="BC33" s="45">
        <f t="shared" si="81"/>
        <v>5694.4703636363647</v>
      </c>
      <c r="BD33" s="173">
        <f t="shared" si="81"/>
        <v>5006.600181818183</v>
      </c>
      <c r="BF33" s="328" t="s">
        <v>153</v>
      </c>
      <c r="BG33" s="324">
        <v>0.52</v>
      </c>
      <c r="BH33" s="327">
        <f t="shared" si="82"/>
        <v>6968.0368727272735</v>
      </c>
      <c r="BI33" s="327">
        <f t="shared" si="82"/>
        <v>5621.0477818181826</v>
      </c>
      <c r="BK33" s="40" t="s">
        <v>153</v>
      </c>
      <c r="BL33" s="41">
        <v>0.52</v>
      </c>
      <c r="BM33" s="252" t="s">
        <v>6</v>
      </c>
      <c r="BN33" s="45">
        <f>$BL33*BN$29</f>
        <v>3759.285636363637</v>
      </c>
      <c r="BO33" s="252" t="s">
        <v>6</v>
      </c>
      <c r="BP33" s="45">
        <f t="shared" si="83"/>
        <v>5468.9804000000013</v>
      </c>
      <c r="BQ33" s="45">
        <f t="shared" si="83"/>
        <v>4676.6190545454547</v>
      </c>
      <c r="BR33" s="45">
        <f t="shared" si="83"/>
        <v>9715.1160363636391</v>
      </c>
      <c r="BS33" s="45">
        <f t="shared" si="83"/>
        <v>8448.2220727272743</v>
      </c>
      <c r="BT33" s="45">
        <f t="shared" si="83"/>
        <v>9326.4302181818184</v>
      </c>
      <c r="BU33" s="252" t="s">
        <v>6</v>
      </c>
      <c r="BV33" s="45">
        <f t="shared" si="84"/>
        <v>4930.5081090909098</v>
      </c>
      <c r="BW33" s="24">
        <f t="shared" si="84"/>
        <v>4930.5081090909098</v>
      </c>
      <c r="BY33" s="38" t="s">
        <v>149</v>
      </c>
      <c r="BZ33" s="89">
        <v>0.35</v>
      </c>
      <c r="CA33" s="200">
        <f t="shared" si="73"/>
        <v>10422.808386847901</v>
      </c>
      <c r="CB33" s="200">
        <f t="shared" si="73"/>
        <v>9332.5002632523956</v>
      </c>
      <c r="CC33" s="200">
        <f t="shared" si="73"/>
        <v>12389.341235162508</v>
      </c>
      <c r="CD33" s="200">
        <f t="shared" si="73"/>
        <v>10002.238122802957</v>
      </c>
      <c r="CE33" s="200">
        <f t="shared" si="73"/>
        <v>9165.6253756119459</v>
      </c>
      <c r="CF33" s="200">
        <f t="shared" si="73"/>
        <v>9957.7042801063271</v>
      </c>
      <c r="CG33" s="200">
        <f t="shared" si="73"/>
        <v>10226.885780106326</v>
      </c>
      <c r="CH33" s="200">
        <f t="shared" si="73"/>
        <v>11948.769454263631</v>
      </c>
      <c r="CI33" s="200">
        <f t="shared" si="73"/>
        <v>9970.5507351625056</v>
      </c>
      <c r="CJ33" s="200">
        <f t="shared" si="73"/>
        <v>9970.5507351625056</v>
      </c>
      <c r="CK33" s="200">
        <f t="shared" si="73"/>
        <v>9559.4116733647534</v>
      </c>
      <c r="CL33" s="200">
        <f t="shared" si="73"/>
        <v>11686.30704976925</v>
      </c>
      <c r="CM33" s="200">
        <f t="shared" si="73"/>
        <v>11311.076100331047</v>
      </c>
      <c r="CN33" s="200">
        <f t="shared" si="73"/>
        <v>10704.000431791721</v>
      </c>
      <c r="CO33" s="200">
        <f t="shared" si="73"/>
        <v>9095.3487969602593</v>
      </c>
      <c r="CP33" s="200">
        <f t="shared" si="73"/>
        <v>8215.4081733647545</v>
      </c>
      <c r="CR33" s="38" t="s">
        <v>149</v>
      </c>
      <c r="CS33" s="89">
        <v>0.35</v>
      </c>
      <c r="CT33" s="200">
        <f t="shared" si="74"/>
        <v>10377.443592441268</v>
      </c>
      <c r="CU33" s="200">
        <f t="shared" si="74"/>
        <v>10635.665805924415</v>
      </c>
      <c r="CV33" s="200">
        <f t="shared" si="74"/>
        <v>11661.413126149131</v>
      </c>
      <c r="CW33" s="200">
        <f t="shared" si="74"/>
        <v>11591.192901430029</v>
      </c>
      <c r="CX33" s="200">
        <f t="shared" si="74"/>
        <v>13709.877513789581</v>
      </c>
      <c r="CY33" s="200">
        <f t="shared" si="74"/>
        <v>10935.045581205313</v>
      </c>
      <c r="CZ33" s="200">
        <f t="shared" si="74"/>
        <v>11686.330451991826</v>
      </c>
      <c r="DB33" s="38" t="s">
        <v>149</v>
      </c>
      <c r="DC33" s="89">
        <v>0.35</v>
      </c>
      <c r="DD33" s="200">
        <f t="shared" si="75"/>
        <v>12097.06115423902</v>
      </c>
      <c r="DE33" s="200">
        <f t="shared" si="75"/>
        <v>10219.236907048009</v>
      </c>
      <c r="DF33" s="200">
        <f t="shared" si="75"/>
        <v>12206.166772216549</v>
      </c>
      <c r="DG33" s="200">
        <f t="shared" si="75"/>
        <v>9506.089845250257</v>
      </c>
      <c r="DH33" s="200">
        <f t="shared" si="75"/>
        <v>9849.6469351378964</v>
      </c>
      <c r="DI33" s="200">
        <f t="shared" si="75"/>
        <v>8664.579260980594</v>
      </c>
      <c r="DJ33" s="200">
        <f t="shared" si="75"/>
        <v>8664.579260980594</v>
      </c>
      <c r="DL33" s="38" t="s">
        <v>149</v>
      </c>
      <c r="DM33" s="89">
        <v>0.35</v>
      </c>
      <c r="DN33" s="200">
        <f>DN$29*$DM33</f>
        <v>4417.0461542390194</v>
      </c>
    </row>
    <row r="34" spans="2:118" ht="32.25" customHeight="1" thickBot="1">
      <c r="B34" s="194" t="s">
        <v>213</v>
      </c>
      <c r="I34" s="38" t="s">
        <v>149</v>
      </c>
      <c r="J34" s="39">
        <f>J29*0.35</f>
        <v>0.35</v>
      </c>
      <c r="K34" s="115">
        <f>J34*$K$29</f>
        <v>7681.4143636363633</v>
      </c>
      <c r="L34" s="170">
        <f>$L$29*J34</f>
        <v>3369.0783636363644</v>
      </c>
      <c r="N34" s="38" t="s">
        <v>149</v>
      </c>
      <c r="O34" s="39">
        <v>0.35</v>
      </c>
      <c r="P34" s="23">
        <f>((SUM(P14:P17)+SUM(P10:P13))*$O$34)+(P18*O41)</f>
        <v>6187.4543636363642</v>
      </c>
      <c r="Q34" s="23">
        <f>Q29*0.35</f>
        <v>3104.0701363636363</v>
      </c>
      <c r="R34" s="173">
        <f>R29*O34</f>
        <v>3024.7550454545458</v>
      </c>
      <c r="S34" s="191"/>
      <c r="T34" s="38" t="s">
        <v>149</v>
      </c>
      <c r="U34" s="39">
        <v>0.35</v>
      </c>
      <c r="V34" s="23">
        <f>V29*U34</f>
        <v>3234.4056818181821</v>
      </c>
      <c r="W34" s="191"/>
      <c r="X34" s="38" t="s">
        <v>149</v>
      </c>
      <c r="Y34" s="41">
        <v>0.35</v>
      </c>
      <c r="Z34" s="45">
        <f t="shared" si="77"/>
        <v>5982.6954090909103</v>
      </c>
      <c r="AA34" s="45">
        <f t="shared" si="77"/>
        <v>5506.5060909090907</v>
      </c>
      <c r="AB34" s="45">
        <f t="shared" si="77"/>
        <v>5506.5060909090907</v>
      </c>
      <c r="AC34" s="45">
        <f t="shared" si="77"/>
        <v>6076.308954545455</v>
      </c>
      <c r="AD34" s="173">
        <f t="shared" si="77"/>
        <v>3839.7510454545454</v>
      </c>
      <c r="AF34" s="38" t="s">
        <v>149</v>
      </c>
      <c r="AG34" s="41">
        <v>0.35</v>
      </c>
      <c r="AH34" s="45">
        <f t="shared" si="78"/>
        <v>11176.232136363638</v>
      </c>
      <c r="AI34" s="45">
        <f t="shared" si="78"/>
        <v>3901.5712272727283</v>
      </c>
      <c r="AJ34" s="45">
        <f t="shared" si="78"/>
        <v>8309.015909090911</v>
      </c>
      <c r="AK34" s="45">
        <f t="shared" si="78"/>
        <v>4642.6300454545462</v>
      </c>
      <c r="AL34" s="173">
        <f t="shared" si="78"/>
        <v>3615.8334545454554</v>
      </c>
      <c r="AN34" s="38" t="s">
        <v>149</v>
      </c>
      <c r="AO34" s="41">
        <v>0.35</v>
      </c>
      <c r="AP34" s="45">
        <f t="shared" si="79"/>
        <v>4182.0370454545455</v>
      </c>
      <c r="AQ34" s="45">
        <f t="shared" si="79"/>
        <v>3679.3409545454547</v>
      </c>
      <c r="AR34" s="45">
        <f t="shared" si="79"/>
        <v>3490.1166363636366</v>
      </c>
      <c r="AS34" s="45"/>
      <c r="AT34" s="45">
        <f>AT$29*$AO34</f>
        <v>4569.4514090909097</v>
      </c>
      <c r="AU34" s="45"/>
      <c r="AV34" s="45">
        <f t="shared" si="80"/>
        <v>3898.4406363636363</v>
      </c>
      <c r="AW34" s="173">
        <f t="shared" si="80"/>
        <v>3490.1166363636366</v>
      </c>
      <c r="AY34" s="38" t="s">
        <v>149</v>
      </c>
      <c r="AZ34" s="41">
        <v>0.35</v>
      </c>
      <c r="BA34" s="45">
        <f t="shared" si="81"/>
        <v>4253.0985000000001</v>
      </c>
      <c r="BB34" s="45">
        <f t="shared" si="81"/>
        <v>5201.8142272727273</v>
      </c>
      <c r="BC34" s="45">
        <f t="shared" si="81"/>
        <v>3832.8165909090912</v>
      </c>
      <c r="BD34" s="173">
        <f t="shared" si="81"/>
        <v>3369.8270454545459</v>
      </c>
      <c r="BF34" s="38" t="s">
        <v>149</v>
      </c>
      <c r="BG34" s="41">
        <v>0.35</v>
      </c>
      <c r="BH34" s="45">
        <f t="shared" si="82"/>
        <v>4690.0248181818179</v>
      </c>
      <c r="BI34" s="173">
        <f t="shared" si="82"/>
        <v>3783.3975454545453</v>
      </c>
      <c r="BK34" s="38" t="s">
        <v>149</v>
      </c>
      <c r="BL34" s="89">
        <v>0.35</v>
      </c>
      <c r="BM34" s="252" t="s">
        <v>6</v>
      </c>
      <c r="BN34" s="45">
        <f>$BL34*BN$29</f>
        <v>2530.2884090909092</v>
      </c>
      <c r="BO34" s="252" t="s">
        <v>6</v>
      </c>
      <c r="BP34" s="45">
        <f>$BL34*BP$29</f>
        <v>3681.0445000000004</v>
      </c>
      <c r="BQ34" s="10">
        <f>BQ29*0.35</f>
        <v>3147.7243636363637</v>
      </c>
      <c r="BR34" s="10">
        <f>BR29*0.35</f>
        <v>6539.0204090909101</v>
      </c>
      <c r="BS34" s="10">
        <f>BS29*0.35</f>
        <v>5686.3033181818191</v>
      </c>
      <c r="BT34" s="10">
        <f>BT29*0.35</f>
        <v>6277.4049545454536</v>
      </c>
      <c r="BU34" s="252" t="s">
        <v>6</v>
      </c>
      <c r="BV34" s="10">
        <f>BV29*0.35</f>
        <v>3318.6112272727273</v>
      </c>
      <c r="BW34" s="10">
        <f>BW29*0.35</f>
        <v>3318.6112272727273</v>
      </c>
    </row>
    <row r="35" spans="2:118" ht="17.25" thickBot="1">
      <c r="B35" s="194" t="s">
        <v>212</v>
      </c>
      <c r="N35" s="202" t="s">
        <v>21</v>
      </c>
      <c r="O35" s="26"/>
      <c r="P35" s="28"/>
      <c r="Q35" s="3"/>
      <c r="R35" s="191"/>
      <c r="S35" s="191"/>
      <c r="T35" s="191"/>
      <c r="U35" s="191"/>
      <c r="V35" s="191"/>
      <c r="W35" s="191"/>
      <c r="AN35" s="38" t="s">
        <v>178</v>
      </c>
      <c r="AO35" s="41">
        <v>1.35</v>
      </c>
      <c r="AP35" s="45"/>
      <c r="AQ35" s="45"/>
      <c r="AR35" s="45"/>
      <c r="AS35" s="45">
        <f>AS18</f>
        <v>137.93181818181819</v>
      </c>
      <c r="AT35" s="45"/>
      <c r="AU35" s="45"/>
      <c r="AV35" s="45"/>
      <c r="AW35" s="173"/>
      <c r="BY35" s="191"/>
      <c r="BZ35" s="201"/>
      <c r="CA35" s="201"/>
      <c r="CP35" s="191"/>
      <c r="DB35" s="191"/>
      <c r="DC35" s="201"/>
      <c r="DD35" s="201"/>
      <c r="DE35" s="201"/>
      <c r="DL35" s="203" t="s">
        <v>199</v>
      </c>
    </row>
    <row r="36" spans="2:118" ht="32.25" customHeight="1" thickBot="1">
      <c r="T36" s="191"/>
      <c r="U36" s="191"/>
      <c r="V36" s="191"/>
      <c r="W36" s="191"/>
      <c r="AQ36" s="191"/>
      <c r="AR36" s="191"/>
      <c r="AS36" s="191"/>
      <c r="AU36" s="26"/>
      <c r="AW36" s="191"/>
      <c r="BY36" s="191"/>
      <c r="BZ36" s="26"/>
      <c r="CA36" s="26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DB36" s="191"/>
      <c r="DC36" s="201"/>
      <c r="DD36" s="201"/>
      <c r="DE36" s="201"/>
      <c r="DL36" s="261"/>
      <c r="DM36" s="270"/>
      <c r="DN36" s="271"/>
    </row>
    <row r="37" spans="2:118" ht="45.75" thickBot="1">
      <c r="N37" s="153"/>
      <c r="O37" s="26"/>
      <c r="P37" s="28"/>
      <c r="Q37" s="3"/>
      <c r="R37" s="191"/>
      <c r="S37" s="191"/>
      <c r="T37" s="191"/>
      <c r="U37" s="191"/>
      <c r="V37" s="191"/>
      <c r="W37" s="191"/>
      <c r="AQ37" s="191"/>
      <c r="AR37" s="191"/>
      <c r="AS37" s="204"/>
      <c r="AT37" s="203" t="s">
        <v>40</v>
      </c>
      <c r="AU37" s="26"/>
      <c r="AW37" s="191"/>
      <c r="BY37" s="203" t="s">
        <v>145</v>
      </c>
      <c r="BZ37" s="26"/>
      <c r="CA37" s="26"/>
      <c r="CB37" s="9"/>
      <c r="CC37" s="9"/>
      <c r="CD37" s="9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DB37" s="191"/>
      <c r="DC37" s="201"/>
      <c r="DD37" s="201"/>
      <c r="DE37" s="201"/>
      <c r="DL37" s="272" t="s">
        <v>186</v>
      </c>
      <c r="DM37" s="262" t="s">
        <v>187</v>
      </c>
      <c r="DN37" s="263" t="s">
        <v>195</v>
      </c>
    </row>
    <row r="38" spans="2:118" ht="45.75" customHeight="1" thickBot="1">
      <c r="N38" s="12" t="s">
        <v>22</v>
      </c>
      <c r="O38" s="13" t="s">
        <v>25</v>
      </c>
      <c r="P38" s="28"/>
      <c r="Q38" s="3"/>
      <c r="R38" s="191"/>
      <c r="S38" s="191"/>
      <c r="T38" s="191"/>
      <c r="U38" s="191"/>
      <c r="V38" s="191"/>
      <c r="W38" s="191"/>
      <c r="AQ38" s="191"/>
      <c r="AR38" s="191"/>
      <c r="AS38" s="191"/>
      <c r="AT38" s="337" t="s">
        <v>0</v>
      </c>
      <c r="AU38" s="337" t="s">
        <v>146</v>
      </c>
      <c r="AW38" s="191"/>
      <c r="AX38" s="191"/>
      <c r="BY38" s="254" t="s">
        <v>137</v>
      </c>
      <c r="BZ38" s="344" t="s">
        <v>94</v>
      </c>
      <c r="CA38" s="345"/>
      <c r="CB38" s="344" t="s">
        <v>95</v>
      </c>
      <c r="CC38" s="345"/>
      <c r="CD38" s="17" t="s">
        <v>147</v>
      </c>
      <c r="CE38" s="17" t="s">
        <v>148</v>
      </c>
      <c r="CF38" s="18" t="s">
        <v>96</v>
      </c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DE38" s="201"/>
      <c r="DL38" s="155"/>
      <c r="DM38" s="264" t="s">
        <v>188</v>
      </c>
      <c r="DN38" s="265" t="s">
        <v>189</v>
      </c>
    </row>
    <row r="39" spans="2:118" s="191" customFormat="1" ht="29.25" customHeight="1">
      <c r="J39" s="201"/>
      <c r="K39" s="201"/>
      <c r="L39" s="194"/>
      <c r="N39" s="21" t="s">
        <v>23</v>
      </c>
      <c r="O39" s="20">
        <v>1</v>
      </c>
      <c r="P39" s="28"/>
      <c r="Q39" s="3"/>
      <c r="X39" s="194"/>
      <c r="AA39" s="194"/>
      <c r="AB39" s="194"/>
      <c r="AC39" s="194"/>
      <c r="AD39" s="194"/>
      <c r="AE39" s="194"/>
      <c r="AF39" s="194"/>
      <c r="AT39" s="338" t="s">
        <v>41</v>
      </c>
      <c r="AU39" s="339">
        <f>(35723.87*$K$2)-0.05</f>
        <v>38971.444545454549</v>
      </c>
      <c r="AX39" s="194"/>
      <c r="BY39" s="132" t="s">
        <v>138</v>
      </c>
      <c r="BZ39" s="133"/>
      <c r="CA39" s="133"/>
      <c r="CB39" s="133"/>
      <c r="CC39" s="133"/>
      <c r="CD39" s="133"/>
      <c r="CE39" s="133"/>
      <c r="CF39" s="30"/>
      <c r="DE39" s="201"/>
      <c r="DF39" s="194"/>
      <c r="DG39" s="194"/>
      <c r="DH39" s="194"/>
      <c r="DI39" s="194"/>
      <c r="DJ39" s="194"/>
      <c r="DK39" s="194"/>
      <c r="DL39" s="155"/>
      <c r="DM39" s="266"/>
      <c r="DN39" s="267">
        <v>7.4</v>
      </c>
    </row>
    <row r="40" spans="2:118" ht="29.25" customHeight="1" thickBot="1">
      <c r="N40" s="205" t="s">
        <v>24</v>
      </c>
      <c r="O40" s="11"/>
      <c r="P40" s="28"/>
      <c r="Q40" s="3"/>
      <c r="R40" s="191"/>
      <c r="S40" s="191"/>
      <c r="T40" s="191"/>
      <c r="U40" s="191"/>
      <c r="V40" s="191"/>
      <c r="W40" s="191"/>
      <c r="AQ40" s="191"/>
      <c r="AR40" s="191"/>
      <c r="AS40" s="191"/>
      <c r="AT40" s="19" t="s">
        <v>42</v>
      </c>
      <c r="AU40" s="25">
        <f>(37588.66*$K$2)-0.06</f>
        <v>41005.750909090923</v>
      </c>
      <c r="AW40" s="191"/>
      <c r="BY40" s="31" t="s">
        <v>97</v>
      </c>
      <c r="BZ40" s="134" t="s">
        <v>98</v>
      </c>
      <c r="CA40" s="135"/>
      <c r="CB40" s="142" t="s">
        <v>99</v>
      </c>
      <c r="CC40" s="143"/>
      <c r="CD40" s="33">
        <v>0.8</v>
      </c>
      <c r="CE40" s="1">
        <v>68867</v>
      </c>
      <c r="CF40" s="4">
        <f t="shared" ref="CF40:CF51" si="85">CD40*68867</f>
        <v>55093.600000000006</v>
      </c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DL40" s="273"/>
      <c r="DM40" s="268">
        <f>K3</f>
        <v>43525</v>
      </c>
      <c r="DN40" s="269">
        <f>K3</f>
        <v>43525</v>
      </c>
    </row>
    <row r="41" spans="2:118" ht="29.25" customHeight="1">
      <c r="N41" s="22" t="s">
        <v>140</v>
      </c>
      <c r="O41" s="11">
        <v>0.25</v>
      </c>
      <c r="Y41" s="194"/>
      <c r="Z41" s="90"/>
      <c r="AA41" s="191"/>
      <c r="AT41" s="19" t="s">
        <v>18</v>
      </c>
      <c r="AU41" s="25">
        <f>21648*$K$2</f>
        <v>23616.000000000004</v>
      </c>
      <c r="BY41" s="31" t="s">
        <v>100</v>
      </c>
      <c r="BZ41" s="134" t="s">
        <v>101</v>
      </c>
      <c r="CA41" s="135"/>
      <c r="CB41" s="142" t="s">
        <v>102</v>
      </c>
      <c r="CC41" s="143"/>
      <c r="CD41" s="33">
        <v>1.56</v>
      </c>
      <c r="CE41" s="1">
        <v>68867</v>
      </c>
      <c r="CF41" s="4">
        <f t="shared" si="85"/>
        <v>107432.52</v>
      </c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DL41" s="277" t="s">
        <v>196</v>
      </c>
      <c r="DM41" s="284">
        <f>(629*$K$2*105.6/106.8)+1.09</f>
        <v>679.56191011235967</v>
      </c>
      <c r="DN41" s="274">
        <f>DM41*DN39</f>
        <v>5028.7581348314616</v>
      </c>
    </row>
    <row r="42" spans="2:118" ht="29.25" customHeight="1">
      <c r="N42" s="22" t="s">
        <v>141</v>
      </c>
      <c r="O42" s="11">
        <v>0.3</v>
      </c>
      <c r="Y42" s="194"/>
      <c r="Z42" s="90"/>
      <c r="AA42" s="191"/>
      <c r="AT42" s="19" t="s">
        <v>43</v>
      </c>
      <c r="AU42" s="25">
        <f>(63241.38*$K$2)-0.08</f>
        <v>68990.516363636372</v>
      </c>
      <c r="BY42" s="31" t="s">
        <v>103</v>
      </c>
      <c r="BZ42" s="134" t="s">
        <v>104</v>
      </c>
      <c r="CA42" s="135"/>
      <c r="CB42" s="142" t="s">
        <v>105</v>
      </c>
      <c r="CC42" s="143"/>
      <c r="CD42" s="33">
        <v>0.4</v>
      </c>
      <c r="CE42" s="1">
        <v>68867</v>
      </c>
      <c r="CF42" s="4">
        <f t="shared" si="85"/>
        <v>27546.800000000003</v>
      </c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DL42" s="278" t="s">
        <v>190</v>
      </c>
      <c r="DM42" s="285">
        <f>(502*$K$2*105.6/106.8)+1.05</f>
        <v>542.53314606741583</v>
      </c>
      <c r="DN42" s="275">
        <f>DM42*DN39</f>
        <v>4014.7452808988774</v>
      </c>
    </row>
    <row r="43" spans="2:118" ht="29.25" customHeight="1">
      <c r="I43" s="194"/>
      <c r="J43" s="194"/>
      <c r="K43" s="194"/>
      <c r="N43" s="22" t="s">
        <v>142</v>
      </c>
      <c r="O43" s="11">
        <v>0.5</v>
      </c>
      <c r="Y43" s="194"/>
      <c r="AT43" s="19" t="s">
        <v>44</v>
      </c>
      <c r="AU43" s="25">
        <f>(26335.1*$K$2)-0.05</f>
        <v>28729.15</v>
      </c>
      <c r="BY43" s="31" t="s">
        <v>106</v>
      </c>
      <c r="BZ43" s="134" t="s">
        <v>107</v>
      </c>
      <c r="CA43" s="135"/>
      <c r="CB43" s="142" t="s">
        <v>108</v>
      </c>
      <c r="CC43" s="143"/>
      <c r="CD43" s="33">
        <v>0.85</v>
      </c>
      <c r="CE43" s="1">
        <v>68867</v>
      </c>
      <c r="CF43" s="4">
        <f t="shared" si="85"/>
        <v>58536.95</v>
      </c>
      <c r="DL43" s="279" t="s">
        <v>191</v>
      </c>
      <c r="DM43" s="285">
        <f>(573*$K$2*105.6/106.8)+0.01</f>
        <v>618.07741573033718</v>
      </c>
      <c r="DN43" s="275">
        <f>DM43*DN39</f>
        <v>4573.772876404495</v>
      </c>
    </row>
    <row r="44" spans="2:118" ht="29.25" customHeight="1">
      <c r="I44" s="194"/>
      <c r="J44" s="194"/>
      <c r="K44" s="194"/>
      <c r="N44" s="22" t="s">
        <v>143</v>
      </c>
      <c r="O44" s="11">
        <v>0.65</v>
      </c>
      <c r="Y44" s="194"/>
      <c r="AT44" s="19" t="s">
        <v>45</v>
      </c>
      <c r="AU44" s="25">
        <f>(66562.62*$K$2)-0.06</f>
        <v>72613.707272727275</v>
      </c>
      <c r="BY44" s="31" t="s">
        <v>106</v>
      </c>
      <c r="BZ44" s="134" t="s">
        <v>109</v>
      </c>
      <c r="CA44" s="135"/>
      <c r="CB44" s="142" t="s">
        <v>110</v>
      </c>
      <c r="CC44" s="143"/>
      <c r="CD44" s="33">
        <v>1.07</v>
      </c>
      <c r="CE44" s="1">
        <v>68867</v>
      </c>
      <c r="CF44" s="4">
        <f t="shared" si="85"/>
        <v>73687.69</v>
      </c>
      <c r="DL44" s="280" t="s">
        <v>197</v>
      </c>
      <c r="DM44" s="285">
        <f>(537*$K$2*105.6/106.8)+1.06</f>
        <v>580.29595505617976</v>
      </c>
      <c r="DN44" s="275">
        <f>DM44*DN39</f>
        <v>4294.1900674157305</v>
      </c>
    </row>
    <row r="45" spans="2:118" ht="29.25" customHeight="1" thickBot="1">
      <c r="I45" s="194"/>
      <c r="J45" s="194"/>
      <c r="K45" s="194"/>
      <c r="N45" s="335" t="s">
        <v>144</v>
      </c>
      <c r="O45" s="336">
        <v>1</v>
      </c>
      <c r="Y45" s="194"/>
      <c r="AT45" s="19" t="s">
        <v>46</v>
      </c>
      <c r="AU45" s="25">
        <f>(21962.31*$K$2)-0.02</f>
        <v>23958.86363636364</v>
      </c>
      <c r="BY45" s="32" t="s">
        <v>100</v>
      </c>
      <c r="BZ45" s="136" t="s">
        <v>111</v>
      </c>
      <c r="CA45" s="137"/>
      <c r="CB45" s="144" t="s">
        <v>112</v>
      </c>
      <c r="CC45" s="145"/>
      <c r="CD45" s="34">
        <v>0.18</v>
      </c>
      <c r="CE45" s="1">
        <v>68867</v>
      </c>
      <c r="CF45" s="5">
        <f t="shared" si="85"/>
        <v>12396.06</v>
      </c>
      <c r="DL45" s="281" t="s">
        <v>198</v>
      </c>
      <c r="DM45" s="285">
        <f>(691*$K$2*105.6/106.8)+1.06</f>
        <v>746.40831460674156</v>
      </c>
      <c r="DN45" s="275">
        <f>DM45*DN39</f>
        <v>5523.4215280898879</v>
      </c>
    </row>
    <row r="46" spans="2:118" ht="29.25" customHeight="1">
      <c r="I46" s="194"/>
      <c r="J46" s="194"/>
      <c r="K46" s="194"/>
      <c r="V46" s="191"/>
      <c r="Y46" s="194"/>
      <c r="Z46" s="194"/>
      <c r="AT46" s="19" t="s">
        <v>47</v>
      </c>
      <c r="AU46" s="25">
        <f>26483.88*$K$2-0.02</f>
        <v>28891.485454545458</v>
      </c>
      <c r="BY46" s="31" t="s">
        <v>100</v>
      </c>
      <c r="BZ46" s="134" t="s">
        <v>113</v>
      </c>
      <c r="CA46" s="135"/>
      <c r="CB46" s="142" t="s">
        <v>114</v>
      </c>
      <c r="CC46" s="143"/>
      <c r="CD46" s="33">
        <v>2.06</v>
      </c>
      <c r="CE46" s="1">
        <v>68867</v>
      </c>
      <c r="CF46" s="4">
        <f>CD46*68867</f>
        <v>141866.01999999999</v>
      </c>
      <c r="DL46" s="279" t="s">
        <v>192</v>
      </c>
      <c r="DM46" s="285">
        <f>(1345*$K$2*105.6/106.8)+0.01</f>
        <v>1450.7965168539326</v>
      </c>
      <c r="DN46" s="275">
        <f>DM46*DN39</f>
        <v>10735.894224719103</v>
      </c>
    </row>
    <row r="47" spans="2:118" ht="29.25" customHeight="1">
      <c r="I47" s="194"/>
      <c r="J47" s="194"/>
      <c r="K47" s="194"/>
      <c r="V47" s="191"/>
      <c r="Y47" s="194"/>
      <c r="Z47" s="194"/>
      <c r="AT47" s="19" t="s">
        <v>48</v>
      </c>
      <c r="AU47" s="25">
        <f>(148058.01*$K$2)-0.18</f>
        <v>161517.64909090914</v>
      </c>
      <c r="BY47" s="31" t="s">
        <v>103</v>
      </c>
      <c r="BZ47" s="134" t="s">
        <v>115</v>
      </c>
      <c r="CA47" s="135"/>
      <c r="CB47" s="142" t="s">
        <v>116</v>
      </c>
      <c r="CC47" s="143"/>
      <c r="CD47" s="33">
        <v>2.93</v>
      </c>
      <c r="CE47" s="1">
        <v>68867</v>
      </c>
      <c r="CF47" s="4">
        <f>CD47*68867</f>
        <v>201780.31</v>
      </c>
      <c r="DL47" s="282" t="s">
        <v>193</v>
      </c>
      <c r="DM47" s="285">
        <f>(700*$K$2*105.6/106.8)+1.08</f>
        <v>756.13617977528099</v>
      </c>
      <c r="DN47" s="275">
        <f>DM47*DN39</f>
        <v>5595.4077303370796</v>
      </c>
    </row>
    <row r="48" spans="2:118" ht="29.25" customHeight="1" thickBot="1">
      <c r="I48" s="194"/>
      <c r="J48" s="194"/>
      <c r="K48" s="194"/>
      <c r="V48" s="191"/>
      <c r="Y48" s="194"/>
      <c r="Z48" s="194"/>
      <c r="AT48" s="340" t="s">
        <v>49</v>
      </c>
      <c r="AU48" s="341">
        <f>13290.61*$K$2-0.01</f>
        <v>14498.837272727274</v>
      </c>
      <c r="BY48" s="31" t="s">
        <v>103</v>
      </c>
      <c r="BZ48" s="134" t="s">
        <v>117</v>
      </c>
      <c r="CA48" s="135"/>
      <c r="CB48" s="142" t="s">
        <v>118</v>
      </c>
      <c r="CC48" s="143"/>
      <c r="CD48" s="33">
        <v>1.9</v>
      </c>
      <c r="CE48" s="1">
        <v>68867</v>
      </c>
      <c r="CF48" s="4">
        <f>CD48*68867</f>
        <v>130847.29999999999</v>
      </c>
      <c r="DL48" s="283" t="s">
        <v>194</v>
      </c>
      <c r="DM48" s="286">
        <f>334*$K$2*105.6/106.8</f>
        <v>360.26966292134836</v>
      </c>
      <c r="DN48" s="276">
        <f>DM48*DN39</f>
        <v>2665.9955056179779</v>
      </c>
    </row>
    <row r="49" spans="9:84" ht="29.25" customHeight="1" thickBot="1">
      <c r="I49" s="194"/>
      <c r="J49" s="194"/>
      <c r="K49" s="194"/>
      <c r="V49" s="191"/>
      <c r="Y49" s="194"/>
      <c r="Z49" s="194"/>
      <c r="AT49" s="342" t="s">
        <v>215</v>
      </c>
      <c r="AU49" s="343">
        <v>23317.86</v>
      </c>
      <c r="BY49" s="31" t="s">
        <v>119</v>
      </c>
      <c r="BZ49" s="134" t="s">
        <v>120</v>
      </c>
      <c r="CA49" s="135"/>
      <c r="CB49" s="142" t="s">
        <v>121</v>
      </c>
      <c r="CC49" s="143"/>
      <c r="CD49" s="33">
        <v>2.42</v>
      </c>
      <c r="CE49" s="1">
        <v>68867</v>
      </c>
      <c r="CF49" s="4">
        <f>CD49*68867</f>
        <v>166658.13999999998</v>
      </c>
    </row>
    <row r="50" spans="9:84" ht="29.25" customHeight="1">
      <c r="I50" s="194"/>
      <c r="J50" s="194"/>
      <c r="K50" s="194"/>
      <c r="Y50" s="194"/>
      <c r="BY50" s="31" t="s">
        <v>122</v>
      </c>
      <c r="BZ50" s="134" t="s">
        <v>123</v>
      </c>
      <c r="CA50" s="135"/>
      <c r="CB50" s="142" t="s">
        <v>124</v>
      </c>
      <c r="CC50" s="143"/>
      <c r="CD50" s="33">
        <v>5.36</v>
      </c>
      <c r="CE50" s="1">
        <v>68867</v>
      </c>
      <c r="CF50" s="4">
        <f t="shared" si="85"/>
        <v>369127.12</v>
      </c>
    </row>
    <row r="51" spans="9:84" ht="29.25" customHeight="1" thickBot="1">
      <c r="I51" s="194"/>
      <c r="J51" s="194"/>
      <c r="K51" s="194"/>
      <c r="Y51" s="194"/>
      <c r="BY51" s="31" t="s">
        <v>125</v>
      </c>
      <c r="BZ51" s="138" t="s">
        <v>126</v>
      </c>
      <c r="CA51" s="139"/>
      <c r="CB51" s="146" t="s">
        <v>127</v>
      </c>
      <c r="CC51" s="147"/>
      <c r="CD51" s="35">
        <v>8.77</v>
      </c>
      <c r="CE51" s="2">
        <v>68867</v>
      </c>
      <c r="CF51" s="4">
        <f t="shared" si="85"/>
        <v>603963.59</v>
      </c>
    </row>
    <row r="52" spans="9:84" ht="15.75" thickTop="1" thickBot="1">
      <c r="I52" s="194"/>
      <c r="J52" s="194"/>
      <c r="K52" s="194"/>
      <c r="Y52" s="194"/>
      <c r="BY52" s="287"/>
      <c r="BZ52" s="27" t="s">
        <v>128</v>
      </c>
      <c r="CA52" s="27"/>
      <c r="CB52" s="27"/>
      <c r="CC52" s="27"/>
      <c r="CD52" s="288">
        <f>SUM(CD40:CD51)</f>
        <v>28.3</v>
      </c>
      <c r="CE52" s="16"/>
      <c r="CF52" s="15"/>
    </row>
    <row r="53" spans="9:84" ht="23.25" customHeight="1">
      <c r="I53" s="194"/>
      <c r="J53" s="194"/>
      <c r="K53" s="194"/>
      <c r="Y53" s="194"/>
      <c r="BY53" s="132" t="s">
        <v>139</v>
      </c>
      <c r="BZ53" s="133"/>
      <c r="CA53" s="133"/>
      <c r="CB53" s="133"/>
      <c r="CC53" s="133"/>
      <c r="CD53" s="133"/>
      <c r="CE53" s="133"/>
      <c r="CF53" s="29"/>
    </row>
    <row r="54" spans="9:84" ht="23.25" customHeight="1">
      <c r="I54" s="194"/>
      <c r="J54" s="194"/>
      <c r="K54" s="194"/>
      <c r="Y54" s="194"/>
      <c r="BY54" s="36" t="s">
        <v>129</v>
      </c>
      <c r="BZ54" s="140" t="s">
        <v>130</v>
      </c>
      <c r="CA54" s="141"/>
      <c r="CB54" s="148"/>
      <c r="CC54" s="149"/>
      <c r="CD54" s="37">
        <v>1.25</v>
      </c>
      <c r="CE54" s="1">
        <v>68867</v>
      </c>
      <c r="CF54" s="6">
        <f>CD54*68867</f>
        <v>86083.75</v>
      </c>
    </row>
    <row r="55" spans="9:84" ht="23.25" customHeight="1">
      <c r="I55" s="194"/>
      <c r="J55" s="194"/>
      <c r="K55" s="194"/>
      <c r="Y55" s="194"/>
      <c r="BY55" s="36" t="s">
        <v>131</v>
      </c>
      <c r="BZ55" s="140" t="s">
        <v>132</v>
      </c>
      <c r="CA55" s="141"/>
      <c r="CB55" s="150"/>
      <c r="CC55" s="151"/>
      <c r="CD55" s="37">
        <v>1.25</v>
      </c>
      <c r="CE55" s="1">
        <v>68867</v>
      </c>
      <c r="CF55" s="7">
        <f>CD55*68867</f>
        <v>86083.75</v>
      </c>
    </row>
    <row r="56" spans="9:84" ht="23.25" customHeight="1">
      <c r="I56" s="194"/>
      <c r="J56" s="194"/>
      <c r="K56" s="194"/>
      <c r="Y56" s="194"/>
      <c r="BY56" s="36" t="s">
        <v>133</v>
      </c>
      <c r="BZ56" s="140" t="s">
        <v>134</v>
      </c>
      <c r="CA56" s="141"/>
      <c r="CB56" s="140"/>
      <c r="CC56" s="141"/>
      <c r="CD56" s="37">
        <v>0.7</v>
      </c>
      <c r="CE56" s="1">
        <v>68867</v>
      </c>
      <c r="CF56" s="8">
        <f>CD56*68867</f>
        <v>48206.899999999994</v>
      </c>
    </row>
    <row r="57" spans="9:84" ht="23.25" customHeight="1" thickBot="1">
      <c r="J57" s="191"/>
      <c r="L57" s="201"/>
      <c r="Y57" s="194"/>
      <c r="AA57" s="191"/>
      <c r="BY57" s="289" t="s">
        <v>135</v>
      </c>
      <c r="BZ57" s="290" t="s">
        <v>136</v>
      </c>
      <c r="CA57" s="291"/>
      <c r="CB57" s="290"/>
      <c r="CC57" s="291"/>
      <c r="CD57" s="292">
        <v>0.6</v>
      </c>
      <c r="CE57" s="293">
        <v>68867</v>
      </c>
      <c r="CF57" s="294">
        <f>CD57*68867</f>
        <v>41320.199999999997</v>
      </c>
    </row>
    <row r="58" spans="9:84" ht="27" customHeight="1">
      <c r="I58" s="194"/>
      <c r="J58" s="194"/>
      <c r="K58" s="194"/>
      <c r="Y58" s="194"/>
      <c r="AA58" s="191"/>
    </row>
    <row r="59" spans="9:84">
      <c r="I59" s="194"/>
      <c r="J59" s="194"/>
      <c r="K59" s="194"/>
      <c r="Y59" s="194"/>
      <c r="AA59" s="191"/>
    </row>
    <row r="60" spans="9:84">
      <c r="I60" s="194"/>
      <c r="J60" s="194"/>
      <c r="K60" s="194"/>
      <c r="Y60" s="194"/>
      <c r="AA60" s="191"/>
    </row>
    <row r="61" spans="9:84">
      <c r="I61" s="194"/>
      <c r="J61" s="194"/>
      <c r="K61" s="194"/>
      <c r="Y61" s="194"/>
      <c r="AA61" s="191"/>
    </row>
    <row r="62" spans="9:84">
      <c r="I62" s="194"/>
      <c r="J62" s="194"/>
      <c r="K62" s="194"/>
      <c r="Y62" s="194"/>
      <c r="AA62" s="191"/>
      <c r="AB62" s="191"/>
    </row>
    <row r="63" spans="9:84">
      <c r="I63" s="194"/>
      <c r="J63" s="194"/>
      <c r="K63" s="194"/>
      <c r="Y63" s="194"/>
      <c r="AA63" s="191"/>
      <c r="AB63" s="191"/>
    </row>
    <row r="64" spans="9:84">
      <c r="I64" s="194"/>
      <c r="J64" s="194"/>
      <c r="K64" s="194"/>
      <c r="Y64" s="194"/>
      <c r="AA64" s="191"/>
      <c r="AB64" s="191"/>
    </row>
    <row r="65" spans="9:28">
      <c r="I65" s="194"/>
      <c r="J65" s="194"/>
      <c r="K65" s="194"/>
      <c r="Y65" s="194"/>
      <c r="AA65" s="191"/>
      <c r="AB65" s="191"/>
    </row>
    <row r="66" spans="9:28">
      <c r="I66" s="194"/>
      <c r="J66" s="194"/>
      <c r="K66" s="194"/>
      <c r="Y66" s="194"/>
      <c r="AA66" s="191"/>
    </row>
    <row r="67" spans="9:28">
      <c r="I67" s="194"/>
      <c r="J67" s="194"/>
      <c r="K67" s="194"/>
      <c r="Y67" s="194"/>
      <c r="AA67" s="191"/>
    </row>
    <row r="68" spans="9:28">
      <c r="I68" s="194"/>
      <c r="J68" s="194"/>
      <c r="K68" s="194"/>
      <c r="Y68" s="194"/>
      <c r="AA68" s="191"/>
    </row>
    <row r="69" spans="9:28">
      <c r="I69" s="194"/>
      <c r="J69" s="194"/>
      <c r="K69" s="194"/>
      <c r="Y69" s="194"/>
      <c r="AA69" s="191"/>
    </row>
    <row r="70" spans="9:28">
      <c r="I70" s="194"/>
      <c r="J70" s="194"/>
      <c r="K70" s="194"/>
      <c r="Y70" s="194"/>
      <c r="AA70" s="191"/>
    </row>
    <row r="71" spans="9:28">
      <c r="I71" s="194"/>
      <c r="J71" s="194"/>
      <c r="K71" s="194"/>
      <c r="Y71" s="194"/>
      <c r="AA71" s="191"/>
    </row>
    <row r="72" spans="9:28">
      <c r="I72" s="194"/>
      <c r="J72" s="194"/>
      <c r="K72" s="194"/>
      <c r="Y72" s="194"/>
      <c r="AA72" s="191"/>
    </row>
    <row r="73" spans="9:28">
      <c r="I73" s="194"/>
      <c r="J73" s="194"/>
      <c r="K73" s="194"/>
      <c r="Y73" s="194"/>
      <c r="AA73" s="191"/>
    </row>
    <row r="74" spans="9:28">
      <c r="I74" s="194"/>
      <c r="J74" s="194"/>
      <c r="K74" s="194"/>
      <c r="Y74" s="194"/>
      <c r="AA74" s="191"/>
    </row>
    <row r="75" spans="9:28">
      <c r="I75" s="194"/>
      <c r="J75" s="194"/>
      <c r="K75" s="194"/>
      <c r="Y75" s="194"/>
      <c r="AA75" s="191"/>
    </row>
    <row r="76" spans="9:28">
      <c r="I76" s="194"/>
      <c r="J76" s="194"/>
      <c r="K76" s="194"/>
      <c r="Y76" s="194"/>
      <c r="AA76" s="191"/>
    </row>
    <row r="77" spans="9:28">
      <c r="I77" s="194"/>
      <c r="J77" s="194"/>
      <c r="K77" s="194"/>
      <c r="Y77" s="194"/>
      <c r="AA77" s="191"/>
    </row>
    <row r="78" spans="9:28">
      <c r="I78" s="194"/>
      <c r="J78" s="194"/>
      <c r="K78" s="194"/>
      <c r="Y78" s="194"/>
      <c r="AA78" s="191"/>
    </row>
    <row r="79" spans="9:28">
      <c r="I79" s="194"/>
      <c r="J79" s="194"/>
      <c r="K79" s="194"/>
      <c r="Y79" s="194"/>
      <c r="AA79" s="191"/>
    </row>
    <row r="80" spans="9:28" ht="20.25" customHeight="1">
      <c r="I80" s="194"/>
      <c r="J80" s="194"/>
      <c r="K80" s="194"/>
      <c r="Y80" s="194"/>
      <c r="AA80" s="191"/>
    </row>
    <row r="81" spans="9:27" ht="15">
      <c r="I81" s="194"/>
      <c r="J81" s="194"/>
      <c r="K81" s="194"/>
      <c r="Y81" s="194"/>
      <c r="Z81" s="90"/>
      <c r="AA81" s="191"/>
    </row>
    <row r="82" spans="9:27">
      <c r="I82" s="194"/>
      <c r="J82" s="194"/>
      <c r="K82" s="194"/>
      <c r="Y82" s="194"/>
    </row>
    <row r="83" spans="9:27">
      <c r="I83" s="194"/>
      <c r="J83" s="194"/>
      <c r="K83" s="194"/>
      <c r="Y83" s="194"/>
    </row>
    <row r="84" spans="9:27">
      <c r="I84" s="194"/>
      <c r="J84" s="194"/>
      <c r="K84" s="194"/>
      <c r="Y84" s="194"/>
      <c r="AA84" s="191"/>
    </row>
    <row r="85" spans="9:27">
      <c r="I85" s="194"/>
      <c r="J85" s="194"/>
      <c r="K85" s="194"/>
    </row>
    <row r="86" spans="9:27">
      <c r="I86" s="194"/>
      <c r="J86" s="194"/>
      <c r="K86" s="194"/>
    </row>
    <row r="87" spans="9:27">
      <c r="I87" s="194"/>
      <c r="J87" s="194"/>
      <c r="K87" s="194"/>
    </row>
    <row r="88" spans="9:27">
      <c r="I88" s="194"/>
      <c r="J88" s="194"/>
      <c r="K88" s="194"/>
    </row>
    <row r="89" spans="9:27">
      <c r="I89" s="194"/>
      <c r="J89" s="194"/>
      <c r="K89" s="194"/>
    </row>
    <row r="90" spans="9:27">
      <c r="I90" s="194"/>
      <c r="J90" s="194"/>
      <c r="K90" s="194"/>
    </row>
    <row r="91" spans="9:27">
      <c r="I91" s="194"/>
      <c r="J91" s="194"/>
      <c r="K91" s="194"/>
    </row>
    <row r="92" spans="9:27">
      <c r="I92" s="194"/>
      <c r="J92" s="194"/>
      <c r="K92" s="194"/>
    </row>
    <row r="93" spans="9:27">
      <c r="I93" s="194"/>
      <c r="J93" s="194"/>
      <c r="K93" s="194"/>
    </row>
    <row r="94" spans="9:27">
      <c r="I94" s="194"/>
      <c r="J94" s="194"/>
      <c r="K94" s="194"/>
    </row>
    <row r="95" spans="9:27">
      <c r="I95" s="194"/>
      <c r="J95" s="194"/>
      <c r="K95" s="194"/>
    </row>
    <row r="96" spans="9:27">
      <c r="I96" s="194"/>
      <c r="J96" s="194"/>
      <c r="K96" s="194"/>
    </row>
    <row r="97" spans="9:11">
      <c r="I97" s="194"/>
      <c r="J97" s="194"/>
      <c r="K97" s="194"/>
    </row>
    <row r="98" spans="9:11">
      <c r="I98" s="194"/>
      <c r="J98" s="194"/>
      <c r="K98" s="194"/>
    </row>
    <row r="99" spans="9:11">
      <c r="I99" s="194"/>
      <c r="J99" s="194"/>
      <c r="K99" s="194"/>
    </row>
    <row r="100" spans="9:11">
      <c r="I100" s="194"/>
      <c r="J100" s="194"/>
      <c r="K100" s="194"/>
    </row>
    <row r="101" spans="9:11">
      <c r="I101" s="194"/>
      <c r="J101" s="194"/>
      <c r="K101" s="194"/>
    </row>
    <row r="102" spans="9:11">
      <c r="I102" s="194"/>
      <c r="J102" s="194"/>
      <c r="K102" s="194"/>
    </row>
    <row r="103" spans="9:11">
      <c r="I103" s="194"/>
      <c r="J103" s="194"/>
      <c r="K103" s="194"/>
    </row>
    <row r="104" spans="9:11">
      <c r="I104" s="194"/>
      <c r="J104" s="194"/>
      <c r="K104" s="194"/>
    </row>
    <row r="105" spans="9:11">
      <c r="I105" s="194"/>
      <c r="J105" s="194"/>
      <c r="K105" s="194"/>
    </row>
    <row r="106" spans="9:11">
      <c r="I106" s="194"/>
      <c r="J106" s="194"/>
      <c r="K106" s="194"/>
    </row>
    <row r="107" spans="9:11">
      <c r="I107" s="194"/>
      <c r="J107" s="194"/>
      <c r="K107" s="194"/>
    </row>
    <row r="108" spans="9:11">
      <c r="I108" s="194"/>
      <c r="J108" s="194"/>
      <c r="K108" s="194"/>
    </row>
    <row r="109" spans="9:11">
      <c r="I109" s="194"/>
      <c r="J109" s="194"/>
      <c r="K109" s="194"/>
    </row>
    <row r="110" spans="9:11">
      <c r="I110" s="194"/>
      <c r="J110" s="194"/>
      <c r="K110" s="194"/>
    </row>
    <row r="111" spans="9:11">
      <c r="I111" s="194"/>
      <c r="J111" s="194"/>
      <c r="K111" s="194"/>
    </row>
    <row r="112" spans="9:11">
      <c r="I112" s="194"/>
      <c r="J112" s="194"/>
      <c r="K112" s="194"/>
    </row>
    <row r="113" spans="9:11">
      <c r="I113" s="194"/>
      <c r="J113" s="194"/>
      <c r="K113" s="194"/>
    </row>
    <row r="114" spans="9:11">
      <c r="I114" s="194"/>
      <c r="J114" s="194"/>
      <c r="K114" s="194"/>
    </row>
    <row r="115" spans="9:11">
      <c r="I115" s="194"/>
      <c r="J115" s="194"/>
      <c r="K115" s="194"/>
    </row>
    <row r="116" spans="9:11">
      <c r="I116" s="194"/>
      <c r="J116" s="194"/>
      <c r="K116" s="194"/>
    </row>
  </sheetData>
  <mergeCells count="6">
    <mergeCell ref="CB38:CC38"/>
    <mergeCell ref="AR7:AS7"/>
    <mergeCell ref="BU7:BV7"/>
    <mergeCell ref="BM7:BN7"/>
    <mergeCell ref="BO7:BP7"/>
    <mergeCell ref="BZ38:CA38"/>
  </mergeCells>
  <pageMargins left="0.39370078740157483" right="0.39370078740157483" top="0.39370078740157483" bottom="0.39370078740157483" header="0.31496062992125984" footer="0.31496062992125984"/>
  <pageSetup paperSize="133" scale="37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Residential Contribution Rates</vt:lpstr>
    </vt:vector>
  </TitlesOfParts>
  <Company>Wyong Shire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Colquhoun, Sharron</dc:creator>
  <cp:lastModifiedBy>Sharron Colquhoun</cp:lastModifiedBy>
  <cp:lastPrinted>2014-06-17T02:00:00Z</cp:lastPrinted>
  <dcterms:created xsi:type="dcterms:W3CDTF">2014-05-16T01:17:51Z</dcterms:created>
  <dcterms:modified xsi:type="dcterms:W3CDTF">2019-05-08T00:46:45Z</dcterms:modified>
</cp:coreProperties>
</file>